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D2E43D91-5150-4D8B-8481-8DD64C3464C2}" xr6:coauthVersionLast="45" xr6:coauthVersionMax="45" xr10:uidLastSave="{00000000-0000-0000-0000-000000000000}"/>
  <workbookProtection workbookAlgorithmName="SHA-512" workbookHashValue="RO/pCPsxvHQd2uynwYLY+kenAOJK698sHz+w34aEI3K+GeXHUYYfExpVlwC4krnqErSPUTgKtHWtBJPPIwMPRQ==" workbookSaltValue="ZhKKxFabRq/TwPzuV8sjTw==" workbookSpinCount="100000" lockStructure="1"/>
  <bookViews>
    <workbookView xWindow="735" yWindow="97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 B-USDA 538 Loan" sheetId="26" state="hidden" r:id="rId4"/>
    <sheet name="Part III C-HUD Insured Loan" sheetId="25" state="hidden" r:id="rId5"/>
    <sheet name="Part III-Sources of Funds" sheetId="68"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3">'Part III B-USDA 538 Loan'!$A$1:$F$111</definedName>
    <definedName name="_xlnm.Print_Area" localSheetId="4">'Part III C-HUD Insured Loan'!$A$1:$F$47</definedName>
    <definedName name="_xlnm.Print_Area" localSheetId="5">'Part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3">'Part III B-USDA 538 Loan'!$58:$62</definedName>
    <definedName name="_xlnm.Print_Titles" localSheetId="4">'Part III C-HUD Insured Loan'!$50:$54</definedName>
    <definedName name="_xlnm.Print_Titles" localSheetId="5">'Part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J30" i="78" l="1"/>
  <c r="J26" i="75"/>
  <c r="J25" i="75"/>
  <c r="J24" i="75"/>
  <c r="J23" i="75"/>
  <c r="J22" i="75"/>
  <c r="J21" i="75"/>
  <c r="J20" i="75"/>
  <c r="J19" i="75"/>
  <c r="J18" i="75"/>
  <c r="L18" i="76"/>
  <c r="L19" i="76"/>
  <c r="K19" i="76"/>
  <c r="K18" i="76"/>
  <c r="J18" i="76"/>
  <c r="J40" i="78"/>
  <c r="J39" i="78"/>
  <c r="J38" i="78"/>
  <c r="S40" i="78"/>
  <c r="S39" i="78"/>
  <c r="S38" i="78"/>
  <c r="I45" i="68" l="1"/>
  <c r="L29" i="68"/>
  <c r="L28" i="68"/>
  <c r="S20" i="78" l="1"/>
  <c r="J17" i="78"/>
  <c r="J16" i="78"/>
  <c r="J15" i="78"/>
  <c r="J14" i="78"/>
  <c r="J13" i="78"/>
  <c r="J12" i="78"/>
  <c r="J11" i="78"/>
  <c r="J10" i="78"/>
  <c r="J9" i="78"/>
  <c r="S142" i="78"/>
  <c r="S132" i="78"/>
  <c r="S131" i="78"/>
  <c r="S130" i="78"/>
  <c r="S129" i="78"/>
  <c r="J133" i="78"/>
  <c r="J126" i="78"/>
  <c r="J124" i="78"/>
  <c r="J122" i="78"/>
  <c r="S116" i="78"/>
  <c r="S113" i="78"/>
  <c r="S112" i="78"/>
  <c r="S111" i="78"/>
  <c r="S110" i="78"/>
  <c r="S109" i="78"/>
  <c r="S108" i="78"/>
  <c r="S107" i="78"/>
  <c r="S106" i="78"/>
  <c r="S105" i="78"/>
  <c r="S99" i="78"/>
  <c r="S98" i="78"/>
  <c r="S97" i="78"/>
  <c r="J84" i="78"/>
  <c r="J83" i="78"/>
  <c r="J82" i="78"/>
  <c r="J81" i="78"/>
  <c r="J80" i="78"/>
  <c r="J79" i="78"/>
  <c r="J78" i="78"/>
  <c r="J77" i="78"/>
  <c r="J76" i="78"/>
  <c r="J75" i="78"/>
  <c r="J71" i="78"/>
  <c r="J68" i="78"/>
  <c r="J67" i="78"/>
  <c r="J66" i="78"/>
  <c r="J65" i="78"/>
  <c r="J64" i="78"/>
  <c r="J63" i="78"/>
  <c r="J85" i="78"/>
  <c r="J70" i="78"/>
  <c r="J91" i="78"/>
  <c r="J90" i="78"/>
  <c r="J89" i="78"/>
  <c r="J88" i="78"/>
  <c r="E45" i="68" l="1"/>
  <c r="P1988" i="97" l="1"/>
  <c r="P1817" i="97"/>
  <c r="P1884" i="97"/>
  <c r="O1884" i="97"/>
  <c r="P1976" i="97"/>
  <c r="P1980" i="97"/>
  <c r="P1982" i="97"/>
  <c r="P2071" i="97"/>
  <c r="O2071" i="97"/>
  <c r="O2069"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F1739" i="97"/>
  <c r="F1740" i="97"/>
  <c r="F1743" i="97"/>
  <c r="F1745" i="97"/>
  <c r="F1746" i="97"/>
  <c r="F1747" i="97"/>
  <c r="F1748" i="97"/>
  <c r="E1739" i="97"/>
  <c r="E1740" i="97"/>
  <c r="E1743"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1" i="97"/>
  <c r="E1221" i="97"/>
  <c r="D1221" i="97"/>
  <c r="C1221" i="97"/>
  <c r="B1221"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1" i="97"/>
  <c r="J1191" i="97"/>
  <c r="I1191" i="97"/>
  <c r="H1191" i="97"/>
  <c r="G1191" i="97"/>
  <c r="F1191" i="97"/>
  <c r="E1191" i="97"/>
  <c r="D1191" i="97"/>
  <c r="C1191" i="97"/>
  <c r="B1191"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9" i="97"/>
  <c r="J1159" i="97"/>
  <c r="I1159" i="97"/>
  <c r="H1159" i="97"/>
  <c r="G1159" i="97"/>
  <c r="F1159" i="97"/>
  <c r="E1159" i="97"/>
  <c r="D1159" i="97"/>
  <c r="C1159" i="97"/>
  <c r="B1159"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C1127" i="97"/>
  <c r="D1127" i="97"/>
  <c r="E1127" i="97"/>
  <c r="F1127" i="97"/>
  <c r="G1127" i="97"/>
  <c r="H1127" i="97"/>
  <c r="I1127" i="97"/>
  <c r="J1127" i="97"/>
  <c r="K1127" i="97"/>
  <c r="B1123" i="97"/>
  <c r="B1124" i="97"/>
  <c r="B1125" i="97"/>
  <c r="B1126" i="97"/>
  <c r="B1127"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P558" i="97"/>
  <c r="M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F540" i="97"/>
  <c r="G546" i="97"/>
  <c r="M649" i="97"/>
  <c r="M665" i="97" s="1"/>
  <c r="M667" i="97" s="1"/>
  <c r="M669" i="97" s="1"/>
  <c r="E543" i="97"/>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28" i="72"/>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G43" i="78"/>
  <c r="C49" i="78"/>
  <c r="L11" i="95"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26" i="72"/>
  <c r="F24" i="72"/>
  <c r="F23" i="72"/>
  <c r="F1742" i="97" s="1"/>
  <c r="F21" i="72"/>
  <c r="F20" i="72"/>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866" i="97" s="1"/>
  <c r="L866" i="97" s="1"/>
  <c r="M866" i="97" s="1"/>
  <c r="K22" i="76"/>
  <c r="J859" i="97" s="1"/>
  <c r="L859" i="97" s="1"/>
  <c r="M859" i="97" s="1"/>
  <c r="J22" i="76"/>
  <c r="J864" i="97" s="1"/>
  <c r="L864" i="97" s="1"/>
  <c r="M864" i="97" s="1"/>
  <c r="I22" i="76"/>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H76" i="74"/>
  <c r="H1172" i="97" s="1"/>
  <c r="I76" i="74"/>
  <c r="I1172" i="97" s="1"/>
  <c r="J76" i="74"/>
  <c r="J1172" i="97" s="1"/>
  <c r="K76" i="74"/>
  <c r="K1172" i="97" s="1"/>
  <c r="J858" i="97" l="1"/>
  <c r="L858" i="97" s="1"/>
  <c r="M858" i="97" s="1"/>
  <c r="J865" i="97"/>
  <c r="L865" i="97" s="1"/>
  <c r="M865" i="97" s="1"/>
  <c r="J862" i="97"/>
  <c r="L862" i="97" s="1"/>
  <c r="M862" i="97" s="1"/>
  <c r="J686" i="97"/>
  <c r="P479" i="97"/>
  <c r="K58" i="74"/>
  <c r="K1154" i="97" s="1"/>
  <c r="F58" i="74"/>
  <c r="F1154" i="97" s="1"/>
  <c r="D58" i="74"/>
  <c r="D1154" i="97" s="1"/>
  <c r="E58" i="74"/>
  <c r="E1154" i="97" s="1"/>
  <c r="C58" i="74"/>
  <c r="C1154" i="97" s="1"/>
  <c r="F120" i="74"/>
  <c r="F1216" i="97" s="1"/>
  <c r="C26" i="74"/>
  <c r="D90" i="74"/>
  <c r="D1186" i="97" s="1"/>
  <c r="B120" i="74"/>
  <c r="B1216" i="97" s="1"/>
  <c r="I26" i="74"/>
  <c r="I1122" i="97" s="1"/>
  <c r="D120" i="74"/>
  <c r="D1216" i="97" s="1"/>
  <c r="G58" i="74"/>
  <c r="G1154" i="97" s="1"/>
  <c r="K90" i="74"/>
  <c r="K1186" i="97" s="1"/>
  <c r="J90" i="74"/>
  <c r="E26" i="74"/>
  <c r="E1122" i="97" s="1"/>
  <c r="H58" i="74"/>
  <c r="I90" i="74"/>
  <c r="I1186" i="97" s="1"/>
  <c r="B58" i="74"/>
  <c r="B1154" i="97" s="1"/>
  <c r="G90" i="74"/>
  <c r="J26" i="74"/>
  <c r="J1122" i="97" s="1"/>
  <c r="F90" i="74"/>
  <c r="F1186" i="97" s="1"/>
  <c r="E120" i="74"/>
  <c r="E1216" i="97" s="1"/>
  <c r="E90" i="74"/>
  <c r="E1186" i="97" s="1"/>
  <c r="K26" i="74"/>
  <c r="C90" i="74"/>
  <c r="C1186" i="97" s="1"/>
  <c r="F26" i="74"/>
  <c r="F1122" i="97" s="1"/>
  <c r="B90" i="74"/>
  <c r="B1186" i="97" s="1"/>
  <c r="H90" i="74"/>
  <c r="I58" i="74"/>
  <c r="I1154" i="97" s="1"/>
  <c r="G26" i="74"/>
  <c r="G1122" i="97" s="1"/>
  <c r="C120" i="74"/>
  <c r="C1216" i="97" s="1"/>
  <c r="D26" i="74"/>
  <c r="D1122" i="97" s="1"/>
  <c r="B26" i="74"/>
  <c r="B1122" i="97" s="1"/>
  <c r="J58" i="74"/>
  <c r="J1154" i="97" s="1"/>
  <c r="H26" i="74"/>
  <c r="H1122" i="97" s="1"/>
  <c r="H1186" i="97"/>
  <c r="C1122" i="97"/>
  <c r="J1186" i="97"/>
  <c r="G1186" i="97"/>
  <c r="L1980" i="97"/>
  <c r="Q1980" i="97"/>
  <c r="N65" i="97"/>
  <c r="O65" i="97"/>
  <c r="P844" i="97"/>
  <c r="B40" i="74"/>
  <c r="P55" i="66"/>
  <c r="O336" i="72"/>
  <c r="E28" i="72"/>
  <c r="J36" i="74"/>
  <c r="J1132" i="97" s="1"/>
  <c r="E36" i="74"/>
  <c r="E1132" i="97" s="1"/>
  <c r="P62" i="72"/>
  <c r="P61" i="72" s="1"/>
  <c r="L395" i="72"/>
  <c r="J319"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B64" i="74"/>
  <c r="K59" i="74"/>
  <c r="E29" i="87" s="1"/>
  <c r="B31" i="87"/>
  <c r="B37" i="87"/>
  <c r="I69" i="74"/>
  <c r="I1165" i="97" s="1"/>
  <c r="B18" i="87"/>
  <c r="B38" i="87"/>
  <c r="J99" i="74"/>
  <c r="J1195" i="97" s="1"/>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27" i="87"/>
  <c r="B21" i="87"/>
  <c r="B44" i="87"/>
  <c r="B13" i="87"/>
  <c r="H99" i="74"/>
  <c r="H1195" i="97" s="1"/>
  <c r="B36" i="87"/>
  <c r="E39" i="87"/>
  <c r="B41" i="87"/>
  <c r="B39" i="87"/>
  <c r="B40" i="87"/>
  <c r="B28" i="87"/>
  <c r="B129" i="74"/>
  <c r="B1225" i="97" s="1"/>
  <c r="J68" i="74"/>
  <c r="J1164" i="97" s="1"/>
  <c r="E99" i="74"/>
  <c r="E1195" i="97" s="1"/>
  <c r="F69" i="74"/>
  <c r="F1165" i="97" s="1"/>
  <c r="B33" i="87"/>
  <c r="D68" i="74"/>
  <c r="D1164" i="97" s="1"/>
  <c r="E16" i="87"/>
  <c r="B35" i="87"/>
  <c r="B24" i="87"/>
  <c r="B22" i="87"/>
  <c r="Q55" i="73"/>
  <c r="L261" i="72"/>
  <c r="O263" i="72"/>
  <c r="O1982" i="97" s="1"/>
  <c r="Q1982" i="97" s="1"/>
  <c r="P55" i="73"/>
  <c r="B37" i="74"/>
  <c r="B1133" i="97" s="1"/>
  <c r="L46" i="75"/>
  <c r="M46"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C8" i="90"/>
  <c r="B5" i="92" s="1"/>
  <c r="J861" i="97"/>
  <c r="L861" i="97" s="1"/>
  <c r="M861" i="97" s="1"/>
  <c r="F40" i="78"/>
  <c r="F38" i="78"/>
  <c r="J863" i="97"/>
  <c r="L863" i="97" s="1"/>
  <c r="M863" i="97" s="1"/>
  <c r="C21" i="90"/>
  <c r="K32" i="74"/>
  <c r="E31" i="86"/>
  <c r="F16" i="86"/>
  <c r="M146" i="78"/>
  <c r="M162" i="78" s="1"/>
  <c r="M164" i="78" s="1"/>
  <c r="M166" i="78" s="1"/>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F91" i="74"/>
  <c r="B27" i="74"/>
  <c r="I32" i="86"/>
  <c r="F51" i="86"/>
  <c r="D32" i="86"/>
  <c r="F12" i="86"/>
  <c r="H91" i="74"/>
  <c r="D59" i="74"/>
  <c r="G27" i="74"/>
  <c r="G59" i="74"/>
  <c r="D121" i="74"/>
  <c r="F121" i="74"/>
  <c r="D91" i="74"/>
  <c r="C27" i="74"/>
  <c r="J27" i="74"/>
  <c r="E27"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H16" i="86"/>
  <c r="I16" i="86"/>
  <c r="D64"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 i="72"/>
  <c r="E1736" i="97" s="1"/>
  <c r="P263" i="72"/>
  <c r="L18" i="75" l="1"/>
  <c r="M18" i="75" s="1"/>
  <c r="L25" i="75"/>
  <c r="M25" i="75" s="1"/>
  <c r="L22" i="75"/>
  <c r="M22" i="75" s="1"/>
  <c r="K1128" i="97"/>
  <c r="F1160" i="97"/>
  <c r="D1160" i="97"/>
  <c r="B1160" i="97"/>
  <c r="C1160" i="97"/>
  <c r="J1128" i="97"/>
  <c r="E1160" i="97"/>
  <c r="B26" i="87"/>
  <c r="B32" i="87"/>
  <c r="B19" i="87"/>
  <c r="K1122" i="97"/>
  <c r="K45" i="82"/>
  <c r="H1154" i="97"/>
  <c r="B12" i="87"/>
  <c r="C10" i="86"/>
  <c r="B1136" i="97"/>
  <c r="C40" i="74"/>
  <c r="K65" i="97"/>
  <c r="H1335" i="97"/>
  <c r="M889" i="97"/>
  <c r="M890" i="97" s="1"/>
  <c r="F27" i="95"/>
  <c r="F26" i="95"/>
  <c r="H25" i="95"/>
  <c r="G25" i="95"/>
  <c r="E29" i="95"/>
  <c r="E26" i="95"/>
  <c r="H30" i="95"/>
  <c r="F31" i="95"/>
  <c r="E30" i="95"/>
  <c r="I29" i="95"/>
  <c r="F30" i="95"/>
  <c r="H26" i="95"/>
  <c r="I31" i="95"/>
  <c r="H29" i="95"/>
  <c r="E31" i="95"/>
  <c r="F29" i="95"/>
  <c r="G28" i="95"/>
  <c r="F25" i="95"/>
  <c r="I27" i="95"/>
  <c r="G31" i="95"/>
  <c r="E27" i="95"/>
  <c r="G26" i="95"/>
  <c r="E28" i="95"/>
  <c r="I25" i="95"/>
  <c r="I30" i="95"/>
  <c r="H31" i="95"/>
  <c r="I28" i="95"/>
  <c r="G29" i="95"/>
  <c r="I26" i="95"/>
  <c r="H28" i="95"/>
  <c r="H27" i="95"/>
  <c r="F28" i="95"/>
  <c r="G27" i="95"/>
  <c r="E25" i="95"/>
  <c r="G30" i="95"/>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E13" i="87"/>
  <c r="E38" i="87"/>
  <c r="J45" i="82"/>
  <c r="E18" i="87"/>
  <c r="E22" i="87"/>
  <c r="K35" i="74"/>
  <c r="K1131" i="97" s="1"/>
  <c r="E19" i="87"/>
  <c r="E37" i="87"/>
  <c r="E14" i="87"/>
  <c r="E11" i="87"/>
  <c r="E36" i="87"/>
  <c r="E26" i="87"/>
  <c r="E27" i="87"/>
  <c r="E30" i="87"/>
  <c r="E28" i="87"/>
  <c r="E32" i="87"/>
  <c r="E33" i="87"/>
  <c r="E20" i="87"/>
  <c r="E34" i="87"/>
  <c r="E128" i="74"/>
  <c r="E1224" i="97" s="1"/>
  <c r="E43" i="87"/>
  <c r="E44" i="87"/>
  <c r="F65" i="82"/>
  <c r="E24" i="87"/>
  <c r="G98" i="74"/>
  <c r="G1194" i="97" s="1"/>
  <c r="E35" i="87"/>
  <c r="E34" i="86"/>
  <c r="E40" i="87"/>
  <c r="E42" i="87"/>
  <c r="E17" i="87"/>
  <c r="E31" i="87"/>
  <c r="E15" i="87"/>
  <c r="G65" i="82"/>
  <c r="E25" i="87"/>
  <c r="E10" i="87"/>
  <c r="E23" i="87"/>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E31" i="74" s="1"/>
  <c r="O100" i="75"/>
  <c r="P158" i="75"/>
  <c r="P140" i="75"/>
  <c r="D34" i="86"/>
  <c r="H34" i="86"/>
  <c r="P97" i="75"/>
  <c r="K100" i="75"/>
  <c r="P137" i="75"/>
  <c r="K148" i="75"/>
  <c r="K1281" i="97" s="1"/>
  <c r="P105" i="75"/>
  <c r="I55" i="84"/>
  <c r="E55" i="84"/>
  <c r="K55" i="84"/>
  <c r="G55" i="84"/>
  <c r="P104" i="75"/>
  <c r="K111" i="75"/>
  <c r="Q238" i="75"/>
  <c r="P238" i="75"/>
  <c r="K164" i="75"/>
  <c r="P159" i="75"/>
  <c r="M100" i="75"/>
  <c r="C54" i="86"/>
  <c r="P94" i="75"/>
  <c r="P120" i="75"/>
  <c r="K121" i="75"/>
  <c r="D24" i="74"/>
  <c r="E14" i="74"/>
  <c r="P138" i="75"/>
  <c r="M147" i="75"/>
  <c r="F1283" i="97" s="1"/>
  <c r="P136" i="75"/>
  <c r="O164" i="75"/>
  <c r="O166" i="75" s="1"/>
  <c r="O168" i="75" s="1"/>
  <c r="P108" i="75"/>
  <c r="P93" i="75"/>
  <c r="P139" i="75"/>
  <c r="P114" i="75"/>
  <c r="C1136" i="97" l="1"/>
  <c r="D10" i="86"/>
  <c r="J26" i="95"/>
  <c r="J30" i="95"/>
  <c r="J25" i="95"/>
  <c r="J29" i="95"/>
  <c r="J31" i="95"/>
  <c r="J27" i="95"/>
  <c r="J28" i="95"/>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P164" i="75"/>
  <c r="P62" i="66" s="1"/>
  <c r="P86" i="97" s="1"/>
  <c r="K166" i="75"/>
  <c r="P148" i="75"/>
  <c r="K41" i="73"/>
  <c r="F48" i="73"/>
  <c r="P149" i="75"/>
  <c r="H44" i="73"/>
  <c r="F42" i="73"/>
  <c r="P147" i="75"/>
  <c r="K50" i="73"/>
  <c r="P150" i="75"/>
  <c r="F43" i="73"/>
  <c r="F50" i="73"/>
  <c r="F14" i="74"/>
  <c r="E24" i="74"/>
  <c r="P153" i="75"/>
  <c r="F65" i="73"/>
  <c r="P100" i="75"/>
  <c r="F10" i="86" l="1"/>
  <c r="E1136" i="97"/>
  <c r="N42" i="73"/>
  <c r="K59" i="73"/>
  <c r="M44" i="73"/>
  <c r="K73" i="75"/>
  <c r="K85" i="75"/>
  <c r="K88" i="75"/>
  <c r="K79" i="75"/>
  <c r="K70" i="75"/>
  <c r="K76" i="75"/>
  <c r="K82" i="75"/>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P176" i="75" l="1"/>
  <c r="G10" i="86"/>
  <c r="F1136" i="97"/>
  <c r="H58" i="73"/>
  <c r="H57" i="73"/>
  <c r="O342" i="72"/>
  <c r="N56" i="73"/>
  <c r="F15" i="74"/>
  <c r="B1111" i="97"/>
  <c r="M79" i="75"/>
  <c r="M73" i="75"/>
  <c r="M82" i="75"/>
  <c r="M76" i="75"/>
  <c r="M88" i="75"/>
  <c r="M70" i="75"/>
  <c r="M85" i="75"/>
  <c r="O85" i="75"/>
  <c r="O82" i="75"/>
  <c r="O88" i="75"/>
  <c r="O73" i="75"/>
  <c r="O70" i="75"/>
  <c r="O76" i="75"/>
  <c r="O79" i="75"/>
  <c r="L76" i="75"/>
  <c r="L70" i="75"/>
  <c r="L73" i="75"/>
  <c r="L88" i="75"/>
  <c r="L82" i="75"/>
  <c r="L79" i="75"/>
  <c r="L85" i="75"/>
  <c r="N73" i="75"/>
  <c r="N76" i="75"/>
  <c r="N85" i="75"/>
  <c r="N88" i="75"/>
  <c r="N70" i="75"/>
  <c r="N82" i="75"/>
  <c r="N79"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H14" i="74"/>
  <c r="G24" i="74"/>
  <c r="G15" i="74"/>
  <c r="P167" i="78"/>
  <c r="P168" i="78" s="1"/>
  <c r="P170" i="78" s="1"/>
  <c r="I53" i="73"/>
  <c r="E1111" i="97" l="1"/>
  <c r="D1111" i="97"/>
  <c r="C1111" i="97"/>
  <c r="G1111" i="97"/>
  <c r="F1111" i="97"/>
  <c r="H10" i="86"/>
  <c r="G1136" i="97"/>
  <c r="N60" i="73"/>
  <c r="M69" i="73" s="1"/>
  <c r="E174" i="90"/>
  <c r="E175" i="90" s="1"/>
  <c r="C66" i="84"/>
  <c r="I66" i="84" s="1"/>
  <c r="Q232" i="75"/>
  <c r="N232" i="75"/>
  <c r="G16" i="74"/>
  <c r="G1112" i="97" s="1"/>
  <c r="B1112" i="97"/>
  <c r="Q1072" i="97"/>
  <c r="N1072" i="97"/>
  <c r="Q227" i="75"/>
  <c r="P73" i="75"/>
  <c r="P88" i="75"/>
  <c r="P85" i="75"/>
  <c r="P76" i="75"/>
  <c r="P70" i="75"/>
  <c r="P79" i="75"/>
  <c r="P82" i="75"/>
  <c r="S696" i="97"/>
  <c r="K220" i="72"/>
  <c r="L108" i="72"/>
  <c r="L98" i="72"/>
  <c r="M1762" i="97"/>
  <c r="L330" i="72"/>
  <c r="H88" i="97"/>
  <c r="I60" i="73"/>
  <c r="H69" i="73" s="1"/>
  <c r="P63" i="73" s="1"/>
  <c r="N1300" i="97"/>
  <c r="M1309" i="97" s="1"/>
  <c r="B23" i="74"/>
  <c r="F23" i="74" s="1"/>
  <c r="F1119" i="97" s="1"/>
  <c r="I1300" i="97"/>
  <c r="H1309" i="97" s="1"/>
  <c r="P1303" i="97" s="1"/>
  <c r="P70" i="66"/>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I31" i="74" s="1"/>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G55" i="78" s="1"/>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H53" i="82"/>
  <c r="H24" i="74"/>
  <c r="I14" i="74"/>
  <c r="H16" i="74"/>
  <c r="H1112" i="97" s="1"/>
  <c r="H15" i="74"/>
  <c r="B1118" i="97" l="1"/>
  <c r="Q217" i="75"/>
  <c r="H1111" i="97"/>
  <c r="J55" i="78"/>
  <c r="G558" i="97"/>
  <c r="L34" i="68"/>
  <c r="L35" i="68" s="1"/>
  <c r="L468" i="97"/>
  <c r="L469" i="97" s="1"/>
  <c r="B58" i="78"/>
  <c r="G146" i="78"/>
  <c r="G148" i="78" s="1"/>
  <c r="F55" i="78"/>
  <c r="G17" i="74"/>
  <c r="G20" i="74" s="1"/>
  <c r="G1116" i="97" s="1"/>
  <c r="P48" i="78"/>
  <c r="J682" i="97"/>
  <c r="I10" i="86"/>
  <c r="H1136" i="97"/>
  <c r="E23" i="74"/>
  <c r="E1119" i="97" s="1"/>
  <c r="G66" i="84"/>
  <c r="E66" i="84"/>
  <c r="K66" i="84"/>
  <c r="H23" i="74"/>
  <c r="H1119" i="97" s="1"/>
  <c r="B1119" i="97"/>
  <c r="B20" i="74"/>
  <c r="B1116" i="97" s="1"/>
  <c r="B1113" i="97"/>
  <c r="P83" i="75"/>
  <c r="P84" i="75" s="1"/>
  <c r="N83" i="75"/>
  <c r="N84" i="75" s="1"/>
  <c r="M83" i="75"/>
  <c r="M84" i="75" s="1"/>
  <c r="O83" i="75"/>
  <c r="O84" i="75" s="1"/>
  <c r="K83" i="75"/>
  <c r="K84" i="75" s="1"/>
  <c r="L83" i="75"/>
  <c r="L84" i="75" s="1"/>
  <c r="P80" i="75"/>
  <c r="P81" i="75" s="1"/>
  <c r="N80" i="75"/>
  <c r="N81" i="75" s="1"/>
  <c r="M80" i="75"/>
  <c r="M81" i="75" s="1"/>
  <c r="K80" i="75"/>
  <c r="K81" i="75" s="1"/>
  <c r="L80" i="75"/>
  <c r="L81" i="75" s="1"/>
  <c r="O80" i="75"/>
  <c r="O81" i="75" s="1"/>
  <c r="P71" i="75"/>
  <c r="P72" i="75" s="1"/>
  <c r="N71" i="75"/>
  <c r="N72" i="75" s="1"/>
  <c r="M71" i="75"/>
  <c r="M72" i="75" s="1"/>
  <c r="L71" i="75"/>
  <c r="L72" i="75" s="1"/>
  <c r="K71" i="75"/>
  <c r="K72" i="75" s="1"/>
  <c r="O71" i="75"/>
  <c r="O72" i="75" s="1"/>
  <c r="L1803" i="97"/>
  <c r="L1817" i="97"/>
  <c r="L1827" i="97"/>
  <c r="M2120" i="97"/>
  <c r="P77" i="75"/>
  <c r="P78" i="75" s="1"/>
  <c r="M77" i="75"/>
  <c r="M78" i="75" s="1"/>
  <c r="L77" i="75"/>
  <c r="L78" i="75" s="1"/>
  <c r="N77" i="75"/>
  <c r="N78" i="75" s="1"/>
  <c r="K77" i="75"/>
  <c r="K78" i="75" s="1"/>
  <c r="O77" i="75"/>
  <c r="O78" i="75" s="1"/>
  <c r="N86" i="75"/>
  <c r="N87" i="75" s="1"/>
  <c r="P86" i="75"/>
  <c r="P87" i="75" s="1"/>
  <c r="K86" i="75"/>
  <c r="K87" i="75" s="1"/>
  <c r="O86" i="75"/>
  <c r="O87" i="75" s="1"/>
  <c r="L86" i="75"/>
  <c r="L87" i="75" s="1"/>
  <c r="M86" i="75"/>
  <c r="M87" i="75" s="1"/>
  <c r="P89" i="75"/>
  <c r="P90" i="75" s="1"/>
  <c r="M89" i="75"/>
  <c r="M90" i="75" s="1"/>
  <c r="K89" i="75"/>
  <c r="K90" i="75" s="1"/>
  <c r="N89" i="75"/>
  <c r="N90" i="75" s="1"/>
  <c r="O89" i="75"/>
  <c r="O90" i="75" s="1"/>
  <c r="L89" i="75"/>
  <c r="L90" i="75" s="1"/>
  <c r="P74" i="75"/>
  <c r="P75" i="75" s="1"/>
  <c r="K74" i="75"/>
  <c r="K75" i="75" s="1"/>
  <c r="N74" i="75"/>
  <c r="N75" i="75" s="1"/>
  <c r="L74" i="75"/>
  <c r="L75" i="75" s="1"/>
  <c r="O74" i="75"/>
  <c r="O75" i="75" s="1"/>
  <c r="M74" i="75"/>
  <c r="M75" i="75" s="1"/>
  <c r="I23" i="74"/>
  <c r="I1119" i="97" s="1"/>
  <c r="C23" i="74"/>
  <c r="C1119" i="97" s="1"/>
  <c r="C13" i="86"/>
  <c r="D23" i="74"/>
  <c r="D1119" i="97" s="1"/>
  <c r="G23" i="74"/>
  <c r="G1119" i="97" s="1"/>
  <c r="AF625" i="97"/>
  <c r="M2037" i="97"/>
  <c r="J2037" i="97"/>
  <c r="J2038" i="97" s="1"/>
  <c r="AF628" i="97"/>
  <c r="P551" i="97"/>
  <c r="P57" i="78"/>
  <c r="K13" i="84"/>
  <c r="M318" i="72"/>
  <c r="M319" i="72" s="1"/>
  <c r="G54" i="78"/>
  <c r="F52" i="89"/>
  <c r="A9" i="83"/>
  <c r="I56" i="84"/>
  <c r="I64" i="84" s="1"/>
  <c r="I40" i="74"/>
  <c r="C17" i="74"/>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F16" i="85"/>
  <c r="J179" i="78"/>
  <c r="H17" i="74"/>
  <c r="H1113" i="97" s="1"/>
  <c r="I53" i="82"/>
  <c r="J31" i="74"/>
  <c r="I24" i="74"/>
  <c r="J14" i="74"/>
  <c r="I16" i="74"/>
  <c r="I1112" i="97" s="1"/>
  <c r="I15" i="74"/>
  <c r="I13" i="86"/>
  <c r="G13" i="86"/>
  <c r="E22" i="74" l="1"/>
  <c r="E1118" i="97" s="1"/>
  <c r="F22" i="74"/>
  <c r="F1118" i="97" s="1"/>
  <c r="G1113" i="97"/>
  <c r="G22" i="74"/>
  <c r="Q1057" i="97"/>
  <c r="C68" i="84"/>
  <c r="C70" i="84" s="1"/>
  <c r="Q225" i="75"/>
  <c r="O218" i="75"/>
  <c r="O219" i="75"/>
  <c r="I1111" i="97"/>
  <c r="C1113" i="97"/>
  <c r="C22" i="74"/>
  <c r="H22" i="74"/>
  <c r="D22" i="74"/>
  <c r="P1285" i="97"/>
  <c r="P45" i="73"/>
  <c r="I61" i="68"/>
  <c r="P1288" i="97"/>
  <c r="P48" i="73"/>
  <c r="C18" i="84"/>
  <c r="I495" i="97"/>
  <c r="J176" i="78"/>
  <c r="J178" i="78" s="1"/>
  <c r="M178" i="78" s="1"/>
  <c r="B4" i="82"/>
  <c r="D148" i="78"/>
  <c r="G649" i="97"/>
  <c r="B561" i="97"/>
  <c r="F558" i="97"/>
  <c r="F58" i="78"/>
  <c r="J58" i="78"/>
  <c r="F57" i="78"/>
  <c r="J57" i="78"/>
  <c r="S55" i="78"/>
  <c r="J558" i="97"/>
  <c r="J649" i="97" s="1"/>
  <c r="J665" i="97" s="1"/>
  <c r="J667" i="97" s="1"/>
  <c r="J669" i="97" s="1"/>
  <c r="J671" i="97" s="1"/>
  <c r="J673" i="97" s="1"/>
  <c r="J674" i="97" s="1"/>
  <c r="J146" i="78"/>
  <c r="J162" i="78" s="1"/>
  <c r="G557" i="97"/>
  <c r="C20" i="74"/>
  <c r="C1116" i="97" s="1"/>
  <c r="F13" i="86"/>
  <c r="D13" i="86"/>
  <c r="C30" i="86"/>
  <c r="I1136" i="97"/>
  <c r="C33" i="86"/>
  <c r="E13" i="86"/>
  <c r="H13" i="86"/>
  <c r="H20" i="84"/>
  <c r="J40" i="74"/>
  <c r="E127" i="78"/>
  <c r="A127" i="78" s="1"/>
  <c r="O84" i="72"/>
  <c r="O1803" i="97" s="1"/>
  <c r="E20" i="74"/>
  <c r="E1116" i="97" s="1"/>
  <c r="D20" i="74"/>
  <c r="D1116" i="97" s="1"/>
  <c r="G56" i="84"/>
  <c r="G64" i="84" s="1"/>
  <c r="F20" i="74"/>
  <c r="F1116" i="97" s="1"/>
  <c r="P84" i="72"/>
  <c r="P1803" i="97" s="1"/>
  <c r="P2120" i="97" s="1"/>
  <c r="P1725" i="97" s="1"/>
  <c r="K31" i="74"/>
  <c r="J53" i="82"/>
  <c r="K14" i="74"/>
  <c r="J24" i="74"/>
  <c r="J15" i="74"/>
  <c r="J16" i="74"/>
  <c r="J1112" i="97" s="1"/>
  <c r="J23" i="74"/>
  <c r="J1119" i="97" s="1"/>
  <c r="I17" i="74"/>
  <c r="I1113" i="97" s="1"/>
  <c r="H20" i="74"/>
  <c r="H1116" i="97" s="1"/>
  <c r="C72" i="84" l="1"/>
  <c r="C76" i="84"/>
  <c r="C73" i="84" s="1"/>
  <c r="I22" i="74"/>
  <c r="I1118" i="97" s="1"/>
  <c r="K68" i="84"/>
  <c r="K70" i="84" s="1"/>
  <c r="I68" i="84"/>
  <c r="I70" i="84" s="1"/>
  <c r="G68" i="84"/>
  <c r="G70" i="84" s="1"/>
  <c r="E68" i="84"/>
  <c r="E70" i="84" s="1"/>
  <c r="E76" i="84" s="1"/>
  <c r="E73" i="84" s="1"/>
  <c r="F634" i="97"/>
  <c r="F131" i="78"/>
  <c r="F633" i="97"/>
  <c r="F130" i="78"/>
  <c r="B21" i="74"/>
  <c r="K21" i="74" s="1"/>
  <c r="Q244" i="75"/>
  <c r="P226" i="75"/>
  <c r="N225" i="75"/>
  <c r="Q1065" i="97"/>
  <c r="O1058" i="97"/>
  <c r="O1059" i="97"/>
  <c r="D1118" i="97"/>
  <c r="G1118" i="97"/>
  <c r="H1118" i="97"/>
  <c r="J1111" i="97"/>
  <c r="J22" i="74"/>
  <c r="J1118" i="97" s="1"/>
  <c r="C1118" i="97"/>
  <c r="J182" i="78"/>
  <c r="J685" i="97" s="1"/>
  <c r="J687" i="97" s="1"/>
  <c r="J689" i="97" s="1"/>
  <c r="J692" i="97" s="1"/>
  <c r="J679" i="97"/>
  <c r="J681" i="97" s="1"/>
  <c r="M681" i="97" s="1"/>
  <c r="D651" i="97"/>
  <c r="G651" i="97"/>
  <c r="S558" i="97"/>
  <c r="S649" i="97" s="1"/>
  <c r="S146" i="78"/>
  <c r="P485" i="97"/>
  <c r="P486" i="97"/>
  <c r="I496" i="97"/>
  <c r="P52" i="68"/>
  <c r="I62" i="68"/>
  <c r="P47" i="68" s="1"/>
  <c r="P481" i="97" s="1"/>
  <c r="P51" i="68"/>
  <c r="P53" i="68" s="1"/>
  <c r="C38" i="84"/>
  <c r="K40" i="84"/>
  <c r="D18" i="84"/>
  <c r="C19" i="84"/>
  <c r="C20" i="84"/>
  <c r="J164" i="78"/>
  <c r="J166" i="78" s="1"/>
  <c r="J168" i="78" s="1"/>
  <c r="E3" i="86"/>
  <c r="F560" i="97"/>
  <c r="J561" i="97"/>
  <c r="F561" i="97"/>
  <c r="J560" i="97"/>
  <c r="P560" i="97"/>
  <c r="D30" i="86"/>
  <c r="J1136" i="97"/>
  <c r="K40" i="74"/>
  <c r="J184" i="78"/>
  <c r="J186" i="78" s="1"/>
  <c r="I20" i="74"/>
  <c r="I1116" i="97" s="1"/>
  <c r="K24" i="74"/>
  <c r="B46" i="74"/>
  <c r="K15" i="74"/>
  <c r="K16" i="74"/>
  <c r="K1112" i="97" s="1"/>
  <c r="K23" i="74"/>
  <c r="K1119" i="97" s="1"/>
  <c r="D33" i="86"/>
  <c r="B63" i="74"/>
  <c r="K53" i="82"/>
  <c r="J17" i="74"/>
  <c r="J1113" i="97" s="1"/>
  <c r="E72" i="84" l="1"/>
  <c r="G76" i="84"/>
  <c r="G73" i="84" s="1"/>
  <c r="G72" i="84"/>
  <c r="N1065" i="97"/>
  <c r="P1066" i="97"/>
  <c r="Q1084" i="97"/>
  <c r="K1111" i="97"/>
  <c r="I76" i="84"/>
  <c r="I73" i="84" s="1"/>
  <c r="I72" i="84"/>
  <c r="B1117" i="97"/>
  <c r="F21" i="74"/>
  <c r="C21" i="74"/>
  <c r="D21" i="74"/>
  <c r="E21" i="74"/>
  <c r="G21" i="74"/>
  <c r="H21" i="74"/>
  <c r="I21" i="74"/>
  <c r="B39" i="74"/>
  <c r="B1135" i="97" s="1"/>
  <c r="J21" i="74"/>
  <c r="J1117" i="97" s="1"/>
  <c r="B25" i="74"/>
  <c r="K72" i="84"/>
  <c r="K76" i="84"/>
  <c r="K73" i="84" s="1"/>
  <c r="P487" i="97"/>
  <c r="E55" i="86"/>
  <c r="E35" i="86"/>
  <c r="C15" i="86"/>
  <c r="F55" i="86"/>
  <c r="O16" i="86"/>
  <c r="D15" i="86"/>
  <c r="F15" i="86"/>
  <c r="D55" i="86"/>
  <c r="D35" i="86"/>
  <c r="H35" i="86"/>
  <c r="G55" i="86"/>
  <c r="F35" i="86"/>
  <c r="H55" i="86"/>
  <c r="C55" i="86"/>
  <c r="G15" i="86"/>
  <c r="C35" i="86"/>
  <c r="I15" i="86"/>
  <c r="I35" i="86"/>
  <c r="H15" i="86"/>
  <c r="G35" i="86"/>
  <c r="E15" i="86"/>
  <c r="O17" i="86"/>
  <c r="J170" i="78"/>
  <c r="J171" i="78" s="1"/>
  <c r="G15" i="82"/>
  <c r="G19" i="82" s="1"/>
  <c r="K1117" i="97"/>
  <c r="E30" i="86"/>
  <c r="K1136" i="97"/>
  <c r="B15" i="82"/>
  <c r="J189" i="78"/>
  <c r="B72" i="74"/>
  <c r="I25" i="74"/>
  <c r="J20" i="74"/>
  <c r="J1116" i="97" s="1"/>
  <c r="K17" i="74"/>
  <c r="K1113" i="97" s="1"/>
  <c r="C46" i="74"/>
  <c r="B56" i="74"/>
  <c r="B48" i="74"/>
  <c r="B1144" i="97" s="1"/>
  <c r="B47" i="74"/>
  <c r="B53" i="74"/>
  <c r="B55" i="74"/>
  <c r="B1151" i="97" s="1"/>
  <c r="C63" i="74"/>
  <c r="B73" i="82"/>
  <c r="E33" i="86"/>
  <c r="J39" i="74" l="1"/>
  <c r="J1135" i="97" s="1"/>
  <c r="K22" i="74"/>
  <c r="K1118" i="97" s="1"/>
  <c r="B1143" i="97"/>
  <c r="B44" i="82"/>
  <c r="B32" i="74"/>
  <c r="B1121" i="97"/>
  <c r="B34" i="74"/>
  <c r="B1130" i="97" s="1"/>
  <c r="B38" i="74"/>
  <c r="B1134" i="97" s="1"/>
  <c r="C1117" i="97"/>
  <c r="C39" i="74"/>
  <c r="C1135" i="97" s="1"/>
  <c r="C25" i="74"/>
  <c r="G1117" i="97"/>
  <c r="G25" i="74"/>
  <c r="G39" i="74"/>
  <c r="G1135" i="97" s="1"/>
  <c r="D1117" i="97"/>
  <c r="D25" i="74"/>
  <c r="D39" i="74"/>
  <c r="D1135" i="97" s="1"/>
  <c r="F1117" i="97"/>
  <c r="F39" i="74"/>
  <c r="F1135" i="97" s="1"/>
  <c r="F25" i="74"/>
  <c r="E1117" i="97"/>
  <c r="E39" i="74"/>
  <c r="E1135" i="97" s="1"/>
  <c r="E25" i="74"/>
  <c r="I1117" i="97"/>
  <c r="I39" i="74"/>
  <c r="I1135" i="97" s="1"/>
  <c r="H1117" i="97"/>
  <c r="H25" i="74"/>
  <c r="H39" i="74"/>
  <c r="H1135" i="97" s="1"/>
  <c r="J193" i="78"/>
  <c r="O19" i="86"/>
  <c r="O23" i="86" s="1"/>
  <c r="O25" i="86" s="1"/>
  <c r="O31" i="86" s="1"/>
  <c r="B1149" i="97"/>
  <c r="I1121" i="97"/>
  <c r="I34" i="74"/>
  <c r="I1130" i="97" s="1"/>
  <c r="I38" i="74"/>
  <c r="I1134" i="97" s="1"/>
  <c r="F30" i="86"/>
  <c r="B1168" i="97"/>
  <c r="C72" i="74"/>
  <c r="I44" i="82"/>
  <c r="I51" i="82" s="1"/>
  <c r="J25" i="74"/>
  <c r="C73" i="82"/>
  <c r="D63" i="74"/>
  <c r="C48" i="74"/>
  <c r="C1144" i="97" s="1"/>
  <c r="C56" i="74"/>
  <c r="D46" i="74"/>
  <c r="C47" i="74"/>
  <c r="C53" i="74"/>
  <c r="C55" i="74"/>
  <c r="C1151" i="97" s="1"/>
  <c r="B49" i="74"/>
  <c r="B1145" i="97" s="1"/>
  <c r="F33" i="86"/>
  <c r="K20" i="74"/>
  <c r="K1116" i="97" s="1"/>
  <c r="B33" i="74" l="1"/>
  <c r="K39" i="74"/>
  <c r="K1135" i="97" s="1"/>
  <c r="E34" i="74"/>
  <c r="E1130" i="97" s="1"/>
  <c r="E1121" i="97"/>
  <c r="E44" i="82"/>
  <c r="E38" i="74"/>
  <c r="E1134" i="97" s="1"/>
  <c r="D34" i="74"/>
  <c r="D1130" i="97" s="1"/>
  <c r="D38" i="74"/>
  <c r="D1134" i="97" s="1"/>
  <c r="D44" i="82"/>
  <c r="D1121" i="97"/>
  <c r="G38" i="74"/>
  <c r="G1134" i="97" s="1"/>
  <c r="G44" i="82"/>
  <c r="G1121" i="97"/>
  <c r="G34" i="74"/>
  <c r="G1130" i="97" s="1"/>
  <c r="B1129" i="97"/>
  <c r="C9" i="86"/>
  <c r="H34" i="74"/>
  <c r="H1130" i="97" s="1"/>
  <c r="H1121" i="97"/>
  <c r="H44" i="82"/>
  <c r="H38" i="74"/>
  <c r="H1134" i="97" s="1"/>
  <c r="F44" i="82"/>
  <c r="F1121" i="97"/>
  <c r="F38" i="74"/>
  <c r="F1134" i="97" s="1"/>
  <c r="F34" i="74"/>
  <c r="F1130" i="97" s="1"/>
  <c r="C32" i="74"/>
  <c r="D32" i="74" s="1"/>
  <c r="B1128" i="97"/>
  <c r="B44" i="74"/>
  <c r="B1140" i="97" s="1"/>
  <c r="C14" i="86"/>
  <c r="R21" i="74"/>
  <c r="S21" i="74" s="1"/>
  <c r="C34" i="74"/>
  <c r="C1130" i="97" s="1"/>
  <c r="C38" i="74"/>
  <c r="C1134" i="97" s="1"/>
  <c r="C44" i="82"/>
  <c r="C1121" i="97"/>
  <c r="B51" i="82"/>
  <c r="B46" i="82"/>
  <c r="C1143" i="97"/>
  <c r="B54" i="74"/>
  <c r="C1149" i="97"/>
  <c r="J696" i="97"/>
  <c r="J197" i="78"/>
  <c r="M195" i="78"/>
  <c r="J1121" i="97"/>
  <c r="J34" i="74"/>
  <c r="J1130" i="97" s="1"/>
  <c r="J38" i="74"/>
  <c r="J1134" i="97" s="1"/>
  <c r="G30" i="86"/>
  <c r="C1168" i="97"/>
  <c r="D72" i="74"/>
  <c r="I46" i="82"/>
  <c r="J33" i="74"/>
  <c r="J1129" i="97" s="1"/>
  <c r="J44" i="82"/>
  <c r="J46" i="82" s="1"/>
  <c r="E46" i="74"/>
  <c r="D56" i="74"/>
  <c r="D48" i="74"/>
  <c r="D1144" i="97" s="1"/>
  <c r="D47" i="74"/>
  <c r="D53" i="74"/>
  <c r="D55" i="74"/>
  <c r="D1151" i="97" s="1"/>
  <c r="E63" i="74"/>
  <c r="D73" i="82"/>
  <c r="G33" i="86"/>
  <c r="K25" i="74"/>
  <c r="B52" i="74"/>
  <c r="B1148" i="97" s="1"/>
  <c r="C49" i="74"/>
  <c r="C1145" i="97" s="1"/>
  <c r="C17" i="86" l="1"/>
  <c r="C18" i="86" s="1"/>
  <c r="C20" i="86" s="1"/>
  <c r="C24" i="86" s="1"/>
  <c r="K6" i="86" s="1"/>
  <c r="G66" i="86" s="1"/>
  <c r="N92" i="85" s="1"/>
  <c r="C33" i="74"/>
  <c r="D9" i="86" s="1"/>
  <c r="R22" i="74"/>
  <c r="D1128" i="97"/>
  <c r="E14" i="86"/>
  <c r="D33" i="74"/>
  <c r="R23" i="74"/>
  <c r="E32" i="74"/>
  <c r="F32" i="74" s="1"/>
  <c r="R25" i="74" s="1"/>
  <c r="H51" i="82"/>
  <c r="H46" i="82"/>
  <c r="B1150" i="97"/>
  <c r="B71" i="74"/>
  <c r="B1167" i="97" s="1"/>
  <c r="D1143" i="97"/>
  <c r="C54" i="74"/>
  <c r="C1129" i="97"/>
  <c r="G51" i="82"/>
  <c r="G46" i="82"/>
  <c r="E46" i="82"/>
  <c r="E51" i="82"/>
  <c r="D46" i="82"/>
  <c r="D51" i="82"/>
  <c r="C46" i="82"/>
  <c r="C51" i="82"/>
  <c r="R1117" i="97"/>
  <c r="S1117" i="97" s="1"/>
  <c r="D14" i="86"/>
  <c r="C1128" i="97"/>
  <c r="C44" i="74"/>
  <c r="C1140" i="97" s="1"/>
  <c r="F51" i="82"/>
  <c r="F46" i="82"/>
  <c r="D1149" i="97"/>
  <c r="I34" i="97"/>
  <c r="I10" i="66"/>
  <c r="L51" i="68"/>
  <c r="C21" i="86"/>
  <c r="M67" i="85"/>
  <c r="P67" i="85" s="1"/>
  <c r="A67" i="85" s="1"/>
  <c r="A21" i="83" s="1"/>
  <c r="E108" i="78"/>
  <c r="J108" i="78" s="1"/>
  <c r="L52" i="68"/>
  <c r="J700" i="97"/>
  <c r="E611" i="97" s="1"/>
  <c r="J611" i="97" s="1"/>
  <c r="M698" i="97"/>
  <c r="K1121" i="97"/>
  <c r="K38" i="74"/>
  <c r="K1134" i="97" s="1"/>
  <c r="K34" i="74"/>
  <c r="K1130" i="97" s="1"/>
  <c r="H30" i="86"/>
  <c r="D1168" i="97"/>
  <c r="E72" i="74"/>
  <c r="J51" i="82"/>
  <c r="D29" i="86"/>
  <c r="D37" i="86" s="1"/>
  <c r="D38" i="86" s="1"/>
  <c r="D40" i="86" s="1"/>
  <c r="D44" i="86" s="1"/>
  <c r="K14" i="86" s="1"/>
  <c r="C52" i="74"/>
  <c r="C1148" i="97" s="1"/>
  <c r="E73" i="82"/>
  <c r="F63" i="74"/>
  <c r="D49" i="74"/>
  <c r="D1145" i="97" s="1"/>
  <c r="B57" i="74"/>
  <c r="K44" i="82"/>
  <c r="K33" i="74"/>
  <c r="K1129" i="97" s="1"/>
  <c r="E47" i="74"/>
  <c r="E56" i="74"/>
  <c r="F46" i="74"/>
  <c r="E48" i="74"/>
  <c r="E1144" i="97" s="1"/>
  <c r="E53" i="74"/>
  <c r="E55" i="74"/>
  <c r="E1151" i="97" s="1"/>
  <c r="H33" i="86"/>
  <c r="G32" i="74" l="1"/>
  <c r="H32" i="74" s="1"/>
  <c r="S22" i="74"/>
  <c r="R24" i="74"/>
  <c r="I32" i="74"/>
  <c r="R1119" i="97"/>
  <c r="F1128" i="97"/>
  <c r="G14" i="86"/>
  <c r="F33" i="74"/>
  <c r="D17" i="86"/>
  <c r="D18" i="86" s="1"/>
  <c r="D20" i="86" s="1"/>
  <c r="D24" i="86" s="1"/>
  <c r="K7" i="86" s="1"/>
  <c r="D1129" i="97"/>
  <c r="E9" i="86"/>
  <c r="E17" i="86" s="1"/>
  <c r="E18" i="86" s="1"/>
  <c r="E20" i="86" s="1"/>
  <c r="E24" i="86" s="1"/>
  <c r="K8" i="86" s="1"/>
  <c r="E1128" i="97"/>
  <c r="F14" i="86"/>
  <c r="E33" i="74"/>
  <c r="D44" i="74"/>
  <c r="D1140" i="97" s="1"/>
  <c r="E1143" i="97"/>
  <c r="C1150" i="97"/>
  <c r="C71" i="74"/>
  <c r="C1167" i="97" s="1"/>
  <c r="R1118" i="97"/>
  <c r="S1118" i="97" s="1"/>
  <c r="S23" i="74"/>
  <c r="D54" i="74"/>
  <c r="E1149" i="97"/>
  <c r="L486" i="97"/>
  <c r="N486" i="97" s="1"/>
  <c r="N52" i="68"/>
  <c r="C41" i="86"/>
  <c r="D41" i="86" s="1"/>
  <c r="E41" i="86" s="1"/>
  <c r="D21" i="86"/>
  <c r="C22" i="86"/>
  <c r="C42" i="86" s="1"/>
  <c r="D42" i="86" s="1"/>
  <c r="E42" i="86" s="1"/>
  <c r="L485" i="97"/>
  <c r="N485" i="97" s="1"/>
  <c r="N51" i="68"/>
  <c r="B14" i="82"/>
  <c r="B1153" i="97"/>
  <c r="B66" i="74"/>
  <c r="B1162" i="97" s="1"/>
  <c r="B70" i="74"/>
  <c r="B1166" i="97" s="1"/>
  <c r="I30" i="86"/>
  <c r="E1168" i="97"/>
  <c r="F72" i="74"/>
  <c r="C57" i="74"/>
  <c r="D52" i="74"/>
  <c r="D1148" i="97" s="1"/>
  <c r="F56" i="74"/>
  <c r="F48" i="74"/>
  <c r="F1144" i="97" s="1"/>
  <c r="F47" i="74"/>
  <c r="G46" i="74"/>
  <c r="F53" i="74"/>
  <c r="F55" i="74"/>
  <c r="F1151" i="97" s="1"/>
  <c r="E49" i="74"/>
  <c r="E1145" i="97" s="1"/>
  <c r="E29" i="86"/>
  <c r="F73" i="82"/>
  <c r="G63" i="74"/>
  <c r="K51" i="82"/>
  <c r="K46" i="82"/>
  <c r="B25" i="82" s="1"/>
  <c r="I33" i="86"/>
  <c r="B64" i="82"/>
  <c r="B65" i="74"/>
  <c r="B1161" i="97" s="1"/>
  <c r="R26" i="74" l="1"/>
  <c r="E54" i="74"/>
  <c r="E1150" i="97" s="1"/>
  <c r="R35" i="74"/>
  <c r="I47" i="68" s="1"/>
  <c r="I481" i="97" s="1"/>
  <c r="R40" i="74"/>
  <c r="R39" i="74"/>
  <c r="I14" i="86"/>
  <c r="H1128" i="97"/>
  <c r="H33" i="74"/>
  <c r="F1129" i="97"/>
  <c r="G9" i="86"/>
  <c r="G17" i="86" s="1"/>
  <c r="G18" i="86" s="1"/>
  <c r="G20" i="86" s="1"/>
  <c r="G24" i="86" s="1"/>
  <c r="K10" i="86" s="1"/>
  <c r="R29" i="74"/>
  <c r="R1121" i="97"/>
  <c r="R34" i="74"/>
  <c r="I1128" i="97"/>
  <c r="C34" i="86"/>
  <c r="I33" i="74"/>
  <c r="R27" i="74"/>
  <c r="D1150" i="97"/>
  <c r="D71" i="74"/>
  <c r="D1167" i="97" s="1"/>
  <c r="R38" i="74"/>
  <c r="H14" i="86"/>
  <c r="G1128" i="97"/>
  <c r="G33" i="74"/>
  <c r="R33" i="74"/>
  <c r="R32" i="74"/>
  <c r="R28" i="74"/>
  <c r="R37" i="74"/>
  <c r="R1120" i="97"/>
  <c r="E1129" i="97"/>
  <c r="F9" i="86"/>
  <c r="F17" i="86" s="1"/>
  <c r="F18" i="86" s="1"/>
  <c r="F20" i="86" s="1"/>
  <c r="F24" i="86" s="1"/>
  <c r="K9" i="86" s="1"/>
  <c r="S25" i="74"/>
  <c r="S24" i="74"/>
  <c r="S1119" i="97"/>
  <c r="F1143" i="97"/>
  <c r="R31" i="74"/>
  <c r="E44" i="74"/>
  <c r="R30" i="74"/>
  <c r="R36" i="74"/>
  <c r="F1149" i="97"/>
  <c r="E21" i="86"/>
  <c r="D22" i="86"/>
  <c r="B20" i="82"/>
  <c r="B21" i="82" s="1"/>
  <c r="G20" i="82"/>
  <c r="C1153" i="97"/>
  <c r="C70" i="74"/>
  <c r="C1166" i="97" s="1"/>
  <c r="C66" i="74"/>
  <c r="C1162" i="97" s="1"/>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F29" i="86"/>
  <c r="H63" i="74"/>
  <c r="G73" i="82"/>
  <c r="B66" i="82"/>
  <c r="B71" i="82"/>
  <c r="C53" i="86"/>
  <c r="D57" i="74"/>
  <c r="G56" i="74"/>
  <c r="G48" i="74"/>
  <c r="G1144" i="97" s="1"/>
  <c r="H46" i="74"/>
  <c r="G47" i="74"/>
  <c r="G53" i="74"/>
  <c r="G55" i="74"/>
  <c r="G1151" i="97" s="1"/>
  <c r="E71" i="74" l="1"/>
  <c r="E1167" i="97" s="1"/>
  <c r="S27" i="74"/>
  <c r="R1123" i="97"/>
  <c r="S26" i="74"/>
  <c r="R1132" i="97"/>
  <c r="R1122" i="97"/>
  <c r="H1129" i="97"/>
  <c r="I9" i="86"/>
  <c r="I17" i="86" s="1"/>
  <c r="I18" i="86" s="1"/>
  <c r="I20" i="86" s="1"/>
  <c r="I24" i="86" s="1"/>
  <c r="K12" i="86" s="1"/>
  <c r="R1128" i="97"/>
  <c r="S31" i="74"/>
  <c r="F54" i="74"/>
  <c r="S1121" i="97"/>
  <c r="R1135" i="97"/>
  <c r="R1127" i="97"/>
  <c r="R1130" i="97"/>
  <c r="R1129" i="97"/>
  <c r="R1125" i="97"/>
  <c r="R1124" i="97"/>
  <c r="R1134" i="97"/>
  <c r="E1140" i="97"/>
  <c r="F44" i="74"/>
  <c r="S29" i="74"/>
  <c r="R1126" i="97"/>
  <c r="G1143" i="97"/>
  <c r="R1131" i="97"/>
  <c r="S1120" i="97"/>
  <c r="G1129" i="97"/>
  <c r="H9" i="86"/>
  <c r="H17" i="86" s="1"/>
  <c r="H18" i="86" s="1"/>
  <c r="H20" i="86" s="1"/>
  <c r="H24" i="86" s="1"/>
  <c r="K11" i="86" s="1"/>
  <c r="S28" i="74"/>
  <c r="S30" i="74"/>
  <c r="I1129" i="97"/>
  <c r="C29" i="86"/>
  <c r="C37" i="86" s="1"/>
  <c r="C38" i="86" s="1"/>
  <c r="C40" i="86" s="1"/>
  <c r="C44" i="86" s="1"/>
  <c r="K13" i="86" s="1"/>
  <c r="R1133" i="97"/>
  <c r="R1136" i="97"/>
  <c r="G1149" i="97"/>
  <c r="F21" i="86"/>
  <c r="E22" i="86"/>
  <c r="D1153" i="97"/>
  <c r="D66" i="74"/>
  <c r="D1162" i="97" s="1"/>
  <c r="D70" i="74"/>
  <c r="D1166" i="97" s="1"/>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G1150" i="97" s="1"/>
  <c r="S1124" i="97"/>
  <c r="S1129" i="97"/>
  <c r="S1128" i="97"/>
  <c r="S1127" i="97"/>
  <c r="F1150" i="97"/>
  <c r="F71" i="74"/>
  <c r="F1167" i="97" s="1"/>
  <c r="S1125" i="97"/>
  <c r="S1123" i="97"/>
  <c r="S1122" i="97"/>
  <c r="F1140" i="97"/>
  <c r="G44" i="74"/>
  <c r="H1143" i="97"/>
  <c r="S1126" i="97"/>
  <c r="H1149" i="97"/>
  <c r="G21" i="86"/>
  <c r="F22" i="86"/>
  <c r="E1153" i="97"/>
  <c r="E66" i="74"/>
  <c r="E1162" i="97" s="1"/>
  <c r="E70" i="74"/>
  <c r="E1166" i="97" s="1"/>
  <c r="E50" i="86"/>
  <c r="H1168" i="97"/>
  <c r="I72" i="74"/>
  <c r="E64" i="82"/>
  <c r="E71" i="82" s="1"/>
  <c r="E74" i="82" s="1"/>
  <c r="E65" i="74"/>
  <c r="E1161" i="97" s="1"/>
  <c r="S1130"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I73" i="82"/>
  <c r="F57" i="74"/>
  <c r="H54" i="74" l="1"/>
  <c r="H1150" i="97" s="1"/>
  <c r="G71" i="74"/>
  <c r="G1167" i="97" s="1"/>
  <c r="I1143" i="97"/>
  <c r="G1140" i="97"/>
  <c r="H44" i="74"/>
  <c r="I1149" i="97"/>
  <c r="H21" i="86"/>
  <c r="G22" i="86"/>
  <c r="F1153" i="97"/>
  <c r="F66" i="74"/>
  <c r="F1162" i="97" s="1"/>
  <c r="F70" i="74"/>
  <c r="F1166" i="97" s="1"/>
  <c r="F50" i="86"/>
  <c r="I1168"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S1131" i="97" s="1"/>
  <c r="F64" i="82"/>
  <c r="I49" i="74"/>
  <c r="I1145" i="97" s="1"/>
  <c r="J73" i="82"/>
  <c r="K63" i="74"/>
  <c r="D75" i="82"/>
  <c r="D76" i="82" s="1"/>
  <c r="E75" i="82"/>
  <c r="E76" i="82" s="1"/>
  <c r="H52" i="74"/>
  <c r="H1148" i="97" s="1"/>
  <c r="F53" i="86"/>
  <c r="F57" i="86" s="1"/>
  <c r="F58" i="86" s="1"/>
  <c r="F60" i="86" s="1"/>
  <c r="F64" i="86" s="1"/>
  <c r="K23" i="86" s="1"/>
  <c r="H71" i="74" l="1"/>
  <c r="H1167" i="97" s="1"/>
  <c r="J1143" i="97"/>
  <c r="I44" i="74"/>
  <c r="H1140" i="97"/>
  <c r="I54" i="74"/>
  <c r="J1149" i="97"/>
  <c r="H22" i="86"/>
  <c r="I21" i="86"/>
  <c r="I22" i="86" s="1"/>
  <c r="G1153" i="97"/>
  <c r="G66" i="74"/>
  <c r="G1162" i="97" s="1"/>
  <c r="G70" i="74"/>
  <c r="G1166" i="97" s="1"/>
  <c r="G50" i="86"/>
  <c r="J1168"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78" i="74"/>
  <c r="K56" i="74"/>
  <c r="K47" i="74"/>
  <c r="K48" i="74"/>
  <c r="K1144" i="97" s="1"/>
  <c r="K53" i="74"/>
  <c r="K55" i="74"/>
  <c r="K1151" i="97" s="1"/>
  <c r="H57" i="74"/>
  <c r="J44" i="74" l="1"/>
  <c r="I1140" i="97"/>
  <c r="K1143" i="97"/>
  <c r="J54" i="74"/>
  <c r="I1150" i="97"/>
  <c r="I71" i="74"/>
  <c r="I1167" i="97" s="1"/>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B1175" i="97" l="1"/>
  <c r="J1150" i="97"/>
  <c r="J71" i="74"/>
  <c r="J1167" i="97" s="1"/>
  <c r="K54" i="74"/>
  <c r="J1140" i="97"/>
  <c r="K44" i="74"/>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H66" i="82"/>
  <c r="H71" i="82"/>
  <c r="H74" i="82" s="1"/>
  <c r="C79" i="74"/>
  <c r="D78" i="74"/>
  <c r="C88" i="74"/>
  <c r="C80" i="74"/>
  <c r="C1176" i="97" s="1"/>
  <c r="C85" i="74"/>
  <c r="C87" i="74"/>
  <c r="C1183" i="97" s="1"/>
  <c r="G75" i="82"/>
  <c r="G76" i="82" s="1"/>
  <c r="K1140" i="97" l="1"/>
  <c r="B76" i="74"/>
  <c r="C1175" i="97"/>
  <c r="K1150" i="97"/>
  <c r="K71" i="74"/>
  <c r="K1167" i="97" s="1"/>
  <c r="B86" i="74"/>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B84" i="74"/>
  <c r="B1180" i="97" s="1"/>
  <c r="H75" i="82"/>
  <c r="H76" i="82" s="1"/>
  <c r="K57" i="74"/>
  <c r="C86" i="74" l="1"/>
  <c r="C1182" i="97" s="1"/>
  <c r="B1182" i="97"/>
  <c r="B102" i="74"/>
  <c r="B1198" i="97" s="1"/>
  <c r="B1172" i="97"/>
  <c r="C76" i="74"/>
  <c r="D1175" i="97"/>
  <c r="D1181" i="97"/>
  <c r="K1153" i="97"/>
  <c r="K66" i="74"/>
  <c r="K1162" i="97" s="1"/>
  <c r="K70" i="74"/>
  <c r="K1166" i="97" s="1"/>
  <c r="E103" i="74"/>
  <c r="E1199" i="97" s="1"/>
  <c r="S39" i="74"/>
  <c r="J71" i="82"/>
  <c r="J74" i="82" s="1"/>
  <c r="J75" i="82" s="1"/>
  <c r="J76" i="82" s="1"/>
  <c r="C84" i="74"/>
  <c r="C1180" i="97" s="1"/>
  <c r="F95" i="74"/>
  <c r="K65" i="74"/>
  <c r="K1161" i="97" s="1"/>
  <c r="S1136" i="97" s="1"/>
  <c r="K64" i="82"/>
  <c r="D81" i="74"/>
  <c r="D1177" i="97" s="1"/>
  <c r="F78" i="74"/>
  <c r="E88" i="74"/>
  <c r="E79" i="74"/>
  <c r="E80" i="74"/>
  <c r="E1176" i="97" s="1"/>
  <c r="E85" i="74"/>
  <c r="E87" i="74"/>
  <c r="E1183" i="97" s="1"/>
  <c r="B89" i="74"/>
  <c r="C102" i="74" l="1"/>
  <c r="C1198" i="97" s="1"/>
  <c r="D86" i="74"/>
  <c r="E1175" i="97"/>
  <c r="C1172" i="97"/>
  <c r="D76" i="74"/>
  <c r="E1181" i="97"/>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F1175" i="97" l="1"/>
  <c r="D1172" i="97"/>
  <c r="E76" i="74"/>
  <c r="E86" i="74"/>
  <c r="D1182" i="97"/>
  <c r="D102" i="74"/>
  <c r="D1198" i="97" s="1"/>
  <c r="F1181" i="97"/>
  <c r="C1185" i="97"/>
  <c r="C97" i="74"/>
  <c r="C1193" i="97" s="1"/>
  <c r="C101" i="74"/>
  <c r="C1197" i="97" s="1"/>
  <c r="G103" i="74"/>
  <c r="G1199" i="97" s="1"/>
  <c r="C96" i="74"/>
  <c r="C1192" i="97" s="1"/>
  <c r="E84" i="74"/>
  <c r="E1180" i="97" s="1"/>
  <c r="G79" i="74"/>
  <c r="G88" i="74"/>
  <c r="G80" i="74"/>
  <c r="G1176" i="97" s="1"/>
  <c r="H78" i="74"/>
  <c r="G85" i="74"/>
  <c r="G87" i="74"/>
  <c r="G1183" i="97" s="1"/>
  <c r="K75" i="82"/>
  <c r="K76" i="82" s="1"/>
  <c r="H95" i="74"/>
  <c r="F81" i="74"/>
  <c r="F1177" i="97" s="1"/>
  <c r="D89" i="74"/>
  <c r="G1175" i="97" l="1"/>
  <c r="F86" i="74"/>
  <c r="E1182" i="97"/>
  <c r="E102" i="74"/>
  <c r="E1198" i="97" s="1"/>
  <c r="E1172" i="97"/>
  <c r="F76" i="74"/>
  <c r="G1181" i="97"/>
  <c r="D1185" i="97"/>
  <c r="D101" i="74"/>
  <c r="D1197" i="97" s="1"/>
  <c r="D97" i="74"/>
  <c r="D1193" i="97" s="1"/>
  <c r="H103" i="74"/>
  <c r="H1199" i="97" s="1"/>
  <c r="D96" i="74"/>
  <c r="D1192" i="97" s="1"/>
  <c r="E89" i="74"/>
  <c r="F84" i="74"/>
  <c r="F1180" i="97" s="1"/>
  <c r="H88" i="74"/>
  <c r="H80" i="74"/>
  <c r="H1176" i="97" s="1"/>
  <c r="H79" i="74"/>
  <c r="I78" i="74"/>
  <c r="H85" i="74"/>
  <c r="H87" i="74"/>
  <c r="H1183" i="97" s="1"/>
  <c r="G81" i="74"/>
  <c r="G1177" i="97" s="1"/>
  <c r="I95" i="74"/>
  <c r="F1172" i="97" l="1"/>
  <c r="G76" i="74"/>
  <c r="G1172" i="97" s="1"/>
  <c r="F1182" i="97"/>
  <c r="F102" i="74"/>
  <c r="F1198" i="97" s="1"/>
  <c r="H1175" i="97"/>
  <c r="G86" i="74"/>
  <c r="H1181" i="97"/>
  <c r="E1185" i="97"/>
  <c r="E97" i="74"/>
  <c r="E1193" i="97" s="1"/>
  <c r="E101" i="74"/>
  <c r="E1197" i="97" s="1"/>
  <c r="I103" i="74"/>
  <c r="I1199" i="97" s="1"/>
  <c r="E96" i="74"/>
  <c r="E1192" i="97" s="1"/>
  <c r="F89" i="74"/>
  <c r="G84" i="74"/>
  <c r="G1180" i="97" s="1"/>
  <c r="I88" i="74"/>
  <c r="I79" i="74"/>
  <c r="J78" i="74"/>
  <c r="I80" i="74"/>
  <c r="I1176" i="97" s="1"/>
  <c r="I85" i="74"/>
  <c r="I87" i="74"/>
  <c r="I1183" i="97" s="1"/>
  <c r="H81" i="74"/>
  <c r="H1177" i="97" s="1"/>
  <c r="J95" i="74"/>
  <c r="H86" i="74" l="1"/>
  <c r="H1182" i="97" s="1"/>
  <c r="G1182" i="97"/>
  <c r="G102" i="74"/>
  <c r="G1198" i="97" s="1"/>
  <c r="I1175" i="97"/>
  <c r="I1181" i="97"/>
  <c r="F1185" i="97"/>
  <c r="F97" i="74"/>
  <c r="F1193" i="97" s="1"/>
  <c r="F101" i="74"/>
  <c r="F1197" i="97" s="1"/>
  <c r="J103" i="74"/>
  <c r="J1199" i="97" s="1"/>
  <c r="F96" i="74"/>
  <c r="F1192" i="97" s="1"/>
  <c r="J80" i="74"/>
  <c r="J1176" i="97" s="1"/>
  <c r="K78" i="74"/>
  <c r="J79" i="74"/>
  <c r="J88" i="74"/>
  <c r="J85" i="74"/>
  <c r="J87" i="74"/>
  <c r="J1183" i="97" s="1"/>
  <c r="I81" i="74"/>
  <c r="I1177" i="97" s="1"/>
  <c r="K95" i="74"/>
  <c r="G89" i="74"/>
  <c r="H84" i="74"/>
  <c r="H1180" i="97" s="1"/>
  <c r="H102" i="74" l="1"/>
  <c r="H1198" i="97" s="1"/>
  <c r="I86" i="74"/>
  <c r="I1182" i="97" s="1"/>
  <c r="J1175" i="97"/>
  <c r="J1181" i="97"/>
  <c r="G1185" i="97"/>
  <c r="G97" i="74"/>
  <c r="G1193" i="97" s="1"/>
  <c r="G101" i="74"/>
  <c r="G1197" i="97" s="1"/>
  <c r="K103" i="74"/>
  <c r="K1199" i="97" s="1"/>
  <c r="G96" i="74"/>
  <c r="G1192" i="97" s="1"/>
  <c r="H89" i="74"/>
  <c r="J81" i="74"/>
  <c r="J1177" i="97" s="1"/>
  <c r="B125" i="74"/>
  <c r="K80" i="74"/>
  <c r="K1176" i="97" s="1"/>
  <c r="B108" i="74"/>
  <c r="K88" i="74"/>
  <c r="K79" i="74"/>
  <c r="K85" i="74"/>
  <c r="K87" i="74"/>
  <c r="K1183" i="97" s="1"/>
  <c r="I84" i="74"/>
  <c r="I1180" i="97" s="1"/>
  <c r="I102" i="74" l="1"/>
  <c r="I1198" i="97" s="1"/>
  <c r="J86" i="74"/>
  <c r="J1182" i="97" s="1"/>
  <c r="K1175" i="97"/>
  <c r="K1181" i="97"/>
  <c r="H1185" i="97"/>
  <c r="H97" i="74"/>
  <c r="H1193" i="97" s="1"/>
  <c r="H101" i="74"/>
  <c r="H1197" i="97" s="1"/>
  <c r="B133" i="74"/>
  <c r="B1229" i="97" s="1"/>
  <c r="H96" i="74"/>
  <c r="H1192" i="97" s="1"/>
  <c r="J84" i="74"/>
  <c r="J1180" i="97" s="1"/>
  <c r="K81" i="74"/>
  <c r="K1177" i="97" s="1"/>
  <c r="C125" i="74"/>
  <c r="I89" i="74"/>
  <c r="B109" i="74"/>
  <c r="C108" i="74"/>
  <c r="B110" i="74"/>
  <c r="B1206" i="97" s="1"/>
  <c r="B118" i="74"/>
  <c r="B115" i="74"/>
  <c r="B117" i="74"/>
  <c r="B1213" i="97" s="1"/>
  <c r="J102" i="74" l="1"/>
  <c r="J1198" i="97" s="1"/>
  <c r="K86" i="74"/>
  <c r="B1205" i="97"/>
  <c r="B1211" i="97"/>
  <c r="I1185" i="97"/>
  <c r="I97" i="74"/>
  <c r="I1193" i="97" s="1"/>
  <c r="I101" i="74"/>
  <c r="I1197" i="97" s="1"/>
  <c r="C133" i="74"/>
  <c r="C1229" i="97" s="1"/>
  <c r="I96" i="74"/>
  <c r="I1192" i="97" s="1"/>
  <c r="J89" i="74"/>
  <c r="K84" i="74"/>
  <c r="K1180" i="97" s="1"/>
  <c r="D108" i="74"/>
  <c r="C109" i="74"/>
  <c r="C118" i="74"/>
  <c r="C110" i="74"/>
  <c r="C1206" i="97" s="1"/>
  <c r="C115" i="74"/>
  <c r="C117" i="74"/>
  <c r="C1213" i="97" s="1"/>
  <c r="D125" i="74"/>
  <c r="B111" i="74"/>
  <c r="B1207" i="97" s="1"/>
  <c r="C1205" i="97" l="1"/>
  <c r="B116" i="74"/>
  <c r="K1182" i="97"/>
  <c r="K102" i="74"/>
  <c r="K1198" i="97" s="1"/>
  <c r="C1211" i="97"/>
  <c r="J1185" i="97"/>
  <c r="J97" i="74"/>
  <c r="J1193" i="97" s="1"/>
  <c r="J101" i="74"/>
  <c r="J1197" i="97" s="1"/>
  <c r="D133" i="74"/>
  <c r="D1229" i="97" s="1"/>
  <c r="K89" i="74"/>
  <c r="J96" i="74"/>
  <c r="J1192" i="97" s="1"/>
  <c r="B114" i="74"/>
  <c r="B1210" i="97" s="1"/>
  <c r="C111" i="74"/>
  <c r="C1207" i="97" s="1"/>
  <c r="E125" i="74"/>
  <c r="D118" i="74"/>
  <c r="D109" i="74"/>
  <c r="E108" i="74"/>
  <c r="D110" i="74"/>
  <c r="D1206" i="97" s="1"/>
  <c r="D115" i="74"/>
  <c r="D117" i="74"/>
  <c r="D1213" i="97" s="1"/>
  <c r="B1212" i="97" l="1"/>
  <c r="B132" i="74"/>
  <c r="B1228" i="97" s="1"/>
  <c r="C116" i="74"/>
  <c r="D1205" i="97"/>
  <c r="D1211" i="97"/>
  <c r="K1185" i="97"/>
  <c r="K101" i="74"/>
  <c r="K1197" i="97" s="1"/>
  <c r="K97" i="74"/>
  <c r="K1193" i="97" s="1"/>
  <c r="E133" i="74"/>
  <c r="E1229" i="97" s="1"/>
  <c r="K96" i="74"/>
  <c r="K1192" i="97" s="1"/>
  <c r="B119" i="74"/>
  <c r="C114" i="74"/>
  <c r="C1210" i="97" s="1"/>
  <c r="F125" i="74"/>
  <c r="F108" i="74"/>
  <c r="E109" i="74"/>
  <c r="E118" i="74"/>
  <c r="E110" i="74"/>
  <c r="E1206" i="97" s="1"/>
  <c r="E115" i="74"/>
  <c r="E117" i="74"/>
  <c r="E1213" i="97" s="1"/>
  <c r="D111" i="74"/>
  <c r="D1207" i="97" s="1"/>
  <c r="D116" i="74" l="1"/>
  <c r="C1212" i="97"/>
  <c r="C132" i="74"/>
  <c r="C1228" i="97" s="1"/>
  <c r="E1205" i="97"/>
  <c r="E1211" i="97"/>
  <c r="B1215" i="97"/>
  <c r="B127" i="74"/>
  <c r="B1223" i="97" s="1"/>
  <c r="B131" i="74"/>
  <c r="B1227" i="97" s="1"/>
  <c r="F133" i="74"/>
  <c r="F1229" i="97" s="1"/>
  <c r="B126" i="74"/>
  <c r="B1222" i="97" s="1"/>
  <c r="C119" i="74"/>
  <c r="E111" i="74"/>
  <c r="E1207" i="97" s="1"/>
  <c r="F118" i="74"/>
  <c r="F110" i="74"/>
  <c r="F1206" i="97" s="1"/>
  <c r="F109" i="74"/>
  <c r="F115" i="74"/>
  <c r="F117" i="74"/>
  <c r="F1213" i="97" s="1"/>
  <c r="D114" i="74"/>
  <c r="D1210" i="97" s="1"/>
  <c r="E116" i="74" l="1"/>
  <c r="E1212" i="97" s="1"/>
  <c r="F1205" i="97"/>
  <c r="D1212" i="97"/>
  <c r="D132" i="74"/>
  <c r="D1228" i="97" s="1"/>
  <c r="F1211" i="97"/>
  <c r="C1215" i="97"/>
  <c r="C127" i="74"/>
  <c r="C1223" i="97" s="1"/>
  <c r="C131" i="74"/>
  <c r="C1227" i="97" s="1"/>
  <c r="C126" i="74"/>
  <c r="C1222" i="97" s="1"/>
  <c r="E114" i="74"/>
  <c r="E1210" i="97" s="1"/>
  <c r="F111" i="74"/>
  <c r="F1207" i="97" s="1"/>
  <c r="D119" i="74"/>
  <c r="E132" i="74" l="1"/>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<sst xmlns="http://schemas.openxmlformats.org/spreadsheetml/2006/main" count="19974" uniqueCount="7179">
  <si>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</si>
  <si>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</si>
  <si>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</si>
  <si>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</si>
  <si>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</si>
  <si>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</si>
  <si>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</si>
  <si>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</si>
  <si>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</si>
  <si>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</si>
  <si>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</si>
  <si>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</si>
  <si>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</si>
  <si>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</si>
  <si>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</si>
  <si>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</si>
  <si>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</si>
  <si>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</si>
  <si>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</si>
  <si>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</si>
  <si>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</si>
  <si>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</si>
  <si>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</si>
  <si>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</si>
  <si>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</si>
  <si>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</si>
  <si>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</si>
  <si>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</si>
  <si>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</si>
  <si>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</si>
  <si>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</si>
  <si>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</si>
  <si>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</si>
  <si>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</si>
  <si>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</si>
  <si>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</si>
  <si>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</si>
  <si>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</si>
  <si>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</si>
  <si>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</si>
  <si>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</si>
  <si>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</si>
  <si>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</si>
  <si>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</si>
  <si>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</si>
  <si>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</si>
  <si>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</si>
  <si>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</si>
  <si>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</si>
  <si>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</si>
  <si>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</si>
  <si>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</si>
  <si>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</si>
  <si>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</si>
  <si>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</si>
  <si>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</si>
  <si>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</si>
  <si>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</si>
  <si>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</si>
  <si>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</si>
  <si>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</si>
  <si>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</si>
  <si>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</si>
  <si>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</si>
  <si>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</si>
  <si>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</si>
  <si>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</si>
  <si>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</si>
  <si>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</si>
  <si>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</si>
  <si>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</si>
  <si>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</si>
  <si>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</si>
  <si>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</si>
  <si>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</si>
  <si>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</si>
  <si>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</si>
  <si>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</si>
  <si>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</si>
  <si>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</si>
  <si>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</si>
  <si>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</si>
  <si>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</si>
  <si>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</si>
  <si>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</si>
  <si>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</si>
  <si>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</si>
  <si>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</si>
  <si>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</si>
  <si>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</si>
  <si>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</si>
  <si>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</si>
  <si>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</si>
  <si>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</si>
  <si>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</si>
  <si>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</si>
  <si>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</si>
  <si>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</si>
  <si>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</si>
  <si>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</si>
  <si>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</si>
  <si>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</si>
  <si>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</si>
  <si>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</si>
  <si>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</si>
  <si>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</si>
  <si>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</si>
  <si>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</si>
  <si>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</si>
  <si>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</si>
  <si>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</si>
  <si>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</si>
  <si>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</si>
  <si>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</si>
  <si>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</si>
  <si>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</si>
  <si>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</si>
  <si>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</si>
  <si>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</si>
  <si>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</si>
  <si>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</si>
  <si>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</si>
  <si>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</si>
  <si>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</si>
  <si>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</si>
  <si>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</si>
  <si>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</si>
  <si>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</si>
  <si>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</si>
  <si>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</si>
  <si>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</si>
  <si>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</si>
  <si>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</si>
  <si>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</si>
  <si>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</si>
  <si>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</si>
  <si>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</si>
  <si>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</si>
  <si>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</si>
  <si>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</si>
  <si>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</si>
  <si>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</si>
  <si>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</si>
  <si>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</si>
  <si>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</si>
  <si>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</si>
  <si>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</si>
  <si>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</si>
  <si>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</si>
  <si>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</si>
  <si>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</si>
  <si>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</si>
  <si>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</si>
  <si>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</si>
  <si>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</si>
  <si>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</si>
  <si>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</si>
  <si>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</si>
  <si>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</si>
  <si>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</si>
  <si>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</si>
  <si>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</si>
  <si>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</si>
  <si>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</si>
  <si>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</si>
  <si>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</si>
  <si>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</si>
  <si>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</si>
  <si>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</si>
  <si>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</si>
  <si>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</si>
  <si>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</si>
  <si>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</si>
  <si>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</si>
  <si>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</si>
  <si>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</si>
  <si>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</si>
  <si>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</si>
  <si>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</si>
  <si>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</si>
  <si>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</si>
  <si>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</si>
  <si>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</si>
  <si>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</si>
  <si>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</si>
  <si>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</si>
  <si>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</si>
  <si>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</si>
  <si>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</si>
  <si>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</si>
  <si>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</si>
  <si>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</si>
  <si>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</si>
  <si>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</si>
  <si>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</si>
  <si>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</si>
  <si>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</si>
  <si>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</si>
  <si>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</si>
  <si>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</si>
  <si>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</si>
  <si>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</si>
  <si>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</si>
  <si>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</si>
  <si>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</si>
  <si>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</si>
  <si>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</si>
  <si>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</si>
  <si>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</si>
  <si>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</si>
  <si>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</si>
  <si>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</si>
  <si>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</si>
  <si>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</si>
  <si>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</si>
  <si>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</si>
  <si>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</si>
  <si>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</si>
  <si>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</si>
  <si>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</si>
  <si>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</si>
  <si>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</si>
  <si>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</si>
  <si>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</si>
  <si>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</si>
  <si>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</si>
  <si>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</si>
  <si>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</si>
  <si>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</si>
  <si>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</si>
  <si>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</si>
  <si>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</si>
  <si>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</si>
  <si>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</si>
  <si>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</si>
  <si>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</si>
  <si>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</si>
  <si>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</si>
  <si>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</si>
  <si>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</si>
  <si>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</si>
  <si>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</si>
  <si>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</si>
  <si>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</si>
  <si>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</si>
  <si>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</si>
  <si>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</si>
  <si>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</si>
  <si>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</si>
  <si>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</si>
  <si>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</si>
  <si>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</si>
  <si>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</si>
  <si>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</si>
  <si>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</si>
  <si>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</si>
  <si>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</si>
  <si>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</si>
  <si>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</si>
  <si>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</si>
  <si>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</si>
  <si>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</si>
  <si>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</si>
  <si>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</si>
  <si>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</si>
  <si>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</si>
  <si>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</si>
  <si>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</si>
  <si>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</si>
  <si>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</si>
  <si>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</si>
  <si>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</si>
  <si>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</si>
  <si>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</si>
  <si>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</si>
  <si>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</si>
  <si>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</si>
  <si>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</si>
  <si>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</si>
  <si>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</si>
  <si>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</si>
  <si>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</si>
  <si>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</si>
  <si>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</si>
  <si>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</si>
  <si>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</si>
  <si>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</si>
  <si>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</si>
  <si>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</si>
  <si>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</si>
  <si>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</si>
  <si>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</si>
  <si>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</si>
  <si>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</si>
  <si>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</si>
  <si>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</si>
  <si>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</si>
  <si>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</si>
  <si>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</si>
  <si>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</si>
  <si>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</si>
  <si>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</si>
  <si>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</si>
  <si>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</si>
  <si>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</si>
  <si>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</si>
  <si>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</si>
  <si>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</si>
  <si>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</si>
  <si>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</si>
  <si>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</si>
  <si>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</si>
  <si>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</si>
  <si>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</si>
  <si>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</si>
  <si>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</si>
  <si>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</si>
  <si>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</si>
  <si>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</si>
  <si>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</si>
  <si>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</si>
  <si>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</si>
  <si>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</si>
  <si>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</si>
  <si>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</si>
  <si>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</si>
  <si>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</si>
  <si>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</si>
  <si>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</si>
  <si>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</si>
  <si>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</si>
  <si>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</si>
  <si>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</si>
  <si>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</si>
  <si>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</si>
  <si>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</si>
  <si>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</si>
  <si>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</si>
  <si>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</si>
  <si>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</si>
  <si>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</si>
  <si>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</si>
  <si>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</si>
  <si>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</si>
  <si>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</si>
  <si>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</si>
  <si>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</si>
  <si>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</si>
  <si>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</si>
  <si>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</si>
  <si>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</si>
  <si>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</si>
  <si>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</si>
  <si>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</si>
  <si>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</si>
  <si>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</si>
  <si>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</si>
  <si>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</si>
  <si>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</si>
  <si>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</si>
  <si>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</si>
  <si>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</si>
  <si>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</si>
  <si>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</si>
  <si>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</si>
  <si>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</si>
  <si>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</si>
  <si>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</si>
  <si>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</si>
  <si>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</si>
  <si>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</si>
  <si>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</si>
  <si>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</si>
  <si>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</si>
  <si>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</si>
  <si>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</si>
  <si>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</si>
  <si>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</si>
  <si>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</si>
  <si>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</si>
  <si>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</si>
  <si>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</si>
  <si>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</si>
  <si>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</si>
  <si>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</si>
  <si>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</si>
  <si>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</si>
  <si>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</si>
  <si>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</si>
  <si>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</si>
  <si>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</si>
  <si>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</si>
  <si>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</si>
  <si>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</si>
  <si>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</si>
  <si>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</si>
  <si>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</si>
  <si>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</si>
  <si>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</si>
  <si>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</si>
  <si>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</si>
  <si>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</si>
  <si>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</si>
  <si>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</si>
  <si>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</si>
  <si>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</si>
  <si>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</si>
  <si>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</si>
  <si>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</si>
  <si>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</si>
  <si>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</si>
  <si>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</si>
  <si>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</si>
  <si>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</si>
  <si>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</si>
  <si>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</si>
  <si>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</si>
  <si>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</si>
  <si>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</si>
  <si>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</si>
  <si>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</si>
  <si>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</si>
  <si>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</si>
  <si>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</si>
  <si>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</si>
  <si>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</si>
  <si>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</si>
  <si>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</si>
  <si>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</si>
  <si>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</si>
  <si>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</si>
  <si>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</si>
  <si>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</si>
  <si>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</si>
  <si>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</si>
  <si>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</si>
  <si>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</si>
  <si>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</si>
  <si>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</si>
  <si>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</si>
  <si>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</si>
  <si>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</si>
  <si>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</si>
  <si>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</si>
  <si>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</si>
  <si>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</si>
  <si>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</si>
  <si>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</si>
  <si>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</si>
  <si>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</si>
  <si>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</si>
  <si>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</si>
  <si>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</si>
  <si>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</si>
  <si>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</si>
  <si>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</si>
  <si>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</si>
  <si>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</si>
  <si>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</si>
  <si>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</si>
  <si>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</si>
  <si>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</si>
  <si>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</si>
  <si>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</si>
  <si>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</si>
  <si>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</si>
  <si>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</si>
  <si>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</si>
  <si>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</si>
  <si>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</si>
  <si>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</si>
  <si>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</si>
  <si>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</si>
  <si>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</si>
  <si>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</si>
  <si>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</si>
  <si>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</si>
  <si>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</si>
  <si>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</si>
  <si>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</si>
  <si>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</si>
  <si>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</si>
  <si>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</si>
  <si>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</si>
  <si>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</si>
  <si>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</si>
  <si>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</si>
  <si>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</si>
  <si>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</si>
  <si>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</si>
  <si>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</si>
  <si>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</si>
  <si>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</si>
  <si>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</si>
  <si>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</si>
  <si>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</si>
  <si>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</si>
  <si>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</si>
  <si>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</si>
  <si>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</si>
  <si>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</si>
  <si>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</si>
  <si>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</si>
  <si>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</si>
  <si>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</si>
  <si>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</si>
  <si>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</si>
  <si>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</si>
  <si>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</si>
  <si>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</si>
  <si>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</si>
  <si>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</si>
  <si>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</si>
  <si>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</si>
  <si>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</si>
  <si>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</si>
  <si>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</si>
  <si>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</si>
  <si>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</si>
  <si>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</si>
  <si>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</si>
  <si>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</si>
  <si>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</si>
  <si>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</si>
  <si>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</si>
  <si>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</si>
  <si>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</si>
  <si>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</si>
  <si>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</si>
  <si>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</si>
  <si>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</si>
  <si>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</si>
  <si>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</si>
  <si>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</si>
  <si>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</si>
  <si>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</si>
  <si>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</si>
  <si>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</si>
  <si>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</si>
  <si>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</si>
  <si>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</si>
  <si>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</si>
  <si>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</si>
  <si>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</si>
  <si>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</si>
  <si>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</si>
  <si>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</si>
  <si>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</si>
  <si>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</si>
  <si>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</si>
  <si>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</si>
  <si>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</si>
  <si>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</si>
  <si>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</si>
  <si>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</si>
  <si>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</si>
  <si>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</si>
  <si>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</si>
  <si>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</si>
  <si>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</si>
  <si>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</si>
  <si>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</si>
  <si>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</si>
  <si>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</si>
  <si>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</si>
  <si>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</si>
  <si>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</si>
  <si>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</si>
  <si>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</si>
  <si>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</si>
  <si>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</si>
  <si>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</si>
  <si>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</si>
  <si>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</si>
  <si>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</si>
  <si>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</si>
  <si>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</si>
  <si>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</si>
  <si>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</si>
  <si>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</si>
  <si>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</si>
  <si>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</si>
  <si>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</si>
  <si>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</si>
  <si>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</si>
  <si>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</si>
  <si>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</si>
  <si>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</si>
  <si>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</si>
  <si>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</si>
  <si>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</si>
  <si>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</si>
  <si>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</si>
  <si>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</si>
  <si>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</si>
  <si>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</si>
  <si>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</si>
  <si>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</si>
  <si>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</si>
  <si>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</si>
  <si>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</si>
  <si>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</si>
  <si>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</si>
  <si>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</si>
  <si>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</si>
  <si>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</si>
  <si>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</si>
  <si>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</si>
  <si>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</si>
  <si>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</si>
  <si>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</si>
  <si>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</si>
  <si>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</si>
  <si>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</si>
  <si>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</si>
  <si>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</si>
  <si>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</si>
  <si>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</si>
  <si>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</si>
  <si>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</si>
  <si>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</si>
  <si>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</si>
  <si>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</si>
  <si>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</si>
  <si>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</si>
  <si>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</si>
  <si>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</si>
  <si>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</si>
  <si>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</si>
  <si>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</si>
  <si>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</si>
  <si>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</si>
  <si>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</si>
  <si>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</si>
  <si>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</si>
  <si>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</si>
  <si>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</si>
  <si>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</si>
  <si>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</si>
  <si>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</si>
  <si>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</si>
  <si>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</si>
  <si>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</si>
  <si>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</si>
  <si>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</si>
  <si>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</si>
  <si>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</si>
  <si>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</si>
  <si>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</si>
  <si>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</si>
  <si>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</si>
  <si>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</si>
  <si>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</si>
  <si>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</si>
  <si>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</si>
  <si>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</si>
  <si>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</si>
  <si>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</si>
  <si>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</si>
  <si>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</si>
  <si>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</si>
  <si>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</si>
  <si>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</si>
  <si>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</si>
  <si>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</si>
  <si>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</si>
  <si>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</si>
  <si>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</si>
  <si>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</si>
  <si>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</si>
  <si>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</si>
  <si>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</si>
  <si>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</si>
  <si>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</si>
  <si>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</si>
  <si>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</si>
  <si>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</si>
  <si>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</si>
  <si>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</si>
  <si>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</si>
  <si>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</si>
  <si>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</si>
  <si>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</si>
  <si>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</si>
  <si>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</si>
  <si>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</si>
  <si>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</si>
  <si>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</si>
  <si>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</si>
  <si>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</si>
  <si>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</si>
  <si>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</si>
  <si>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</si>
  <si>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</si>
  <si>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</si>
  <si>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</si>
  <si>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</si>
  <si>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</si>
  <si>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</si>
  <si>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</si>
  <si>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</si>
  <si>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</si>
  <si>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</si>
  <si>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</si>
  <si>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</si>
  <si>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</si>
  <si>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</si>
  <si>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</si>
  <si>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</si>
  <si>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</si>
  <si>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</si>
  <si>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</si>
  <si>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</si>
  <si>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</si>
  <si>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</si>
  <si>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</si>
  <si>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</si>
  <si>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</si>
  <si>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</si>
  <si>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</si>
  <si>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</si>
  <si>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</si>
  <si>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</si>
  <si>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</si>
  <si>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</si>
  <si>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</si>
  <si>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</si>
  <si>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</si>
  <si>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</si>
  <si>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</si>
  <si>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</si>
  <si>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</si>
  <si>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</si>
  <si>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</si>
  <si>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</si>
  <si>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</si>
  <si>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</si>
  <si>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</si>
  <si>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</si>
  <si>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</si>
  <si>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</si>
  <si>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</si>
  <si>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</si>
  <si>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</si>
  <si>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</si>
  <si>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</si>
  <si>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</si>
  <si>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</si>
  <si>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</si>
  <si>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</si>
  <si>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</si>
  <si>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</si>
  <si>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</si>
  <si>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</si>
  <si>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</si>
  <si>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</si>
  <si>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</si>
  <si>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</si>
  <si>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</si>
  <si>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</si>
  <si>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</si>
  <si>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</si>
  <si>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</si>
  <si>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</si>
  <si>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</si>
  <si>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</si>
  <si>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</si>
  <si>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</si>
  <si>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</si>
  <si>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</si>
  <si>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</si>
  <si>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</si>
  <si>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</si>
  <si>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</si>
  <si>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</si>
  <si>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</si>
  <si>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</si>
  <si>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</si>
  <si>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</si>
  <si>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</si>
  <si>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</si>
  <si>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</si>
  <si>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</si>
  <si>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</si>
  <si>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</si>
  <si>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</si>
  <si>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</si>
  <si>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</si>
  <si>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</si>
  <si>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</si>
  <si>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</si>
  <si>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</si>
  <si>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</si>
  <si>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</si>
  <si>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</si>
  <si>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</si>
  <si>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</si>
  <si>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</si>
  <si>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</si>
  <si>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</si>
  <si>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</si>
  <si>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</si>
  <si>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</si>
  <si>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</si>
  <si>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</si>
  <si>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</si>
  <si>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</si>
  <si>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</si>
  <si>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</si>
  <si>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</si>
  <si>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</si>
  <si>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</si>
  <si>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</si>
  <si>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</si>
  <si>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</si>
  <si>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</si>
  <si>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</si>
  <si>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</si>
  <si>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</si>
  <si>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</si>
  <si>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</si>
  <si>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</si>
  <si>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</si>
  <si>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</si>
  <si>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</si>
  <si>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</si>
  <si>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</si>
  <si>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</si>
  <si>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</si>
  <si>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</si>
  <si>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</si>
  <si>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</si>
  <si>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</si>
  <si>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</si>
  <si>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</si>
  <si>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</si>
  <si>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</si>
  <si>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</si>
  <si>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</si>
  <si>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</si>
  <si>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</si>
  <si>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</si>
  <si>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</si>
  <si>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</si>
  <si>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</si>
  <si>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</si>
  <si>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</si>
  <si>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</si>
  <si>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</si>
  <si>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</si>
  <si>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</si>
  <si>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</si>
  <si>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</si>
  <si>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</si>
  <si>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</si>
  <si>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</si>
  <si>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</si>
  <si>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</si>
  <si>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</si>
  <si>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</si>
  <si>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</si>
  <si>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</si>
  <si>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</si>
  <si>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</si>
  <si>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</si>
  <si>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</si>
  <si>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</si>
  <si>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</si>
  <si>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</si>
  <si>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</si>
  <si>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</si>
  <si>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</si>
  <si>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</si>
  <si>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</si>
  <si>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</si>
  <si>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</si>
  <si>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</si>
  <si>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</si>
  <si>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</si>
  <si>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</si>
  <si>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</si>
  <si>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</si>
  <si>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</si>
  <si>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</si>
  <si>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</si>
  <si>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</si>
  <si>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</si>
  <si>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</si>
  <si>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</si>
  <si>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</si>
  <si>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</si>
  <si>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</si>
  <si>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</si>
  <si>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</si>
  <si>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</si>
  <si>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</si>
  <si>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</si>
  <si>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</si>
  <si>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</si>
  <si>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</si>
  <si>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</si>
  <si>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</si>
  <si>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</si>
  <si>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</si>
  <si>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</si>
  <si>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</si>
  <si>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</si>
  <si>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</si>
  <si>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</si>
  <si>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</si>
  <si>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</si>
  <si>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</si>
  <si>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</si>
  <si>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</si>
  <si>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</si>
  <si>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</si>
  <si>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</si>
  <si>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</si>
  <si>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</si>
  <si>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</si>
  <si>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</si>
  <si>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</si>
  <si>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</si>
  <si>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</si>
  <si>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</si>
  <si>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</si>
  <si>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</si>
  <si>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</si>
  <si>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</si>
  <si>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</si>
  <si>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</si>
  <si>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</si>
  <si>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</si>
  <si>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</si>
  <si>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</si>
  <si>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</si>
  <si>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</si>
  <si>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</si>
  <si>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</si>
  <si>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</si>
  <si>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</si>
  <si>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</si>
  <si>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</si>
  <si>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</si>
  <si>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</si>
  <si>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</si>
  <si>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</si>
  <si>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</si>
  <si>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</si>
  <si>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</si>
  <si>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</si>
  <si>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</si>
  <si>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</si>
  <si>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</si>
  <si>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</si>
  <si>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</si>
  <si>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</si>
  <si>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</si>
  <si>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</si>
  <si>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</si>
  <si>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</si>
  <si>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</si>
  <si>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</si>
  <si>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</si>
  <si>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</si>
  <si>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</si>
  <si>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</si>
  <si>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</si>
  <si>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</si>
  <si>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</si>
  <si>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</si>
  <si>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</si>
  <si>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</si>
  <si>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</si>
  <si>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</si>
  <si>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</si>
  <si>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</si>
  <si>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</si>
  <si>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</si>
  <si>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</si>
  <si>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</si>
  <si>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</si>
  <si>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</si>
  <si>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</si>
  <si>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</si>
  <si>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</si>
  <si>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</si>
  <si>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</si>
  <si>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</si>
  <si>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</si>
  <si>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</si>
  <si>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</si>
  <si>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</si>
  <si>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</si>
  <si>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</si>
  <si>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</si>
  <si>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</si>
  <si>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</si>
  <si>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</si>
  <si>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</si>
  <si>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</si>
  <si>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</si>
  <si>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</si>
  <si>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</si>
  <si>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</si>
  <si>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</si>
  <si>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</si>
  <si>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</si>
  <si>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</si>
  <si>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</si>
  <si>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</si>
  <si>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</si>
  <si>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</si>
  <si>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</si>
  <si>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</si>
  <si>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</si>
  <si>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</si>
  <si>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</si>
  <si>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</si>
  <si>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</si>
  <si>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</si>
  <si>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</si>
  <si>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</si>
  <si>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</si>
  <si>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</si>
  <si>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</si>
  <si>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</si>
  <si>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</si>
  <si>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</si>
  <si>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</si>
  <si>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</si>
  <si>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</si>
  <si>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</si>
  <si>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</si>
  <si>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</si>
  <si>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</si>
  <si>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</si>
  <si>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</si>
  <si>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</si>
  <si>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</si>
  <si>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</si>
  <si>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</si>
  <si>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</si>
  <si>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</si>
  <si>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</si>
  <si>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</si>
  <si>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</si>
  <si>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</si>
  <si>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</si>
  <si>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</si>
  <si>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</si>
  <si>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</si>
  <si>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</si>
  <si>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</si>
  <si>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</si>
  <si>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</si>
  <si>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</si>
  <si>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</si>
  <si>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</si>
  <si>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</si>
  <si>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</si>
  <si>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</si>
  <si>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</si>
  <si>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</si>
  <si>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</si>
  <si>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</si>
  <si>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</si>
  <si>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</si>
  <si>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</si>
  <si>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</si>
  <si>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</si>
  <si>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</si>
  <si>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</si>
  <si>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</si>
  <si>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</si>
  <si>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</si>
  <si>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</si>
  <si>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</si>
  <si>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</si>
  <si>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</si>
  <si>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</si>
  <si>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</si>
  <si>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</si>
  <si>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</si>
  <si>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</si>
  <si>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</si>
  <si>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</si>
  <si>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</si>
  <si>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</si>
  <si>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</si>
  <si>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</si>
  <si>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</si>
  <si>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</si>
  <si>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</si>
  <si>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</si>
  <si>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</si>
  <si>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</si>
  <si>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</si>
  <si>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</si>
  <si>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</si>
  <si>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</si>
  <si>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</si>
  <si>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</si>
  <si>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</si>
  <si>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</si>
  <si>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</si>
  <si>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</si>
  <si>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</si>
  <si>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</si>
  <si>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</si>
  <si>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</si>
  <si>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</si>
  <si>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</si>
  <si>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</si>
  <si>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</si>
  <si>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</si>
  <si>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</si>
  <si>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</si>
  <si>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</si>
  <si>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</si>
  <si>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</si>
  <si>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</si>
  <si>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</si>
  <si>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</si>
  <si>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</si>
  <si>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</si>
  <si>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</si>
  <si>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</si>
  <si>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</si>
  <si>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</si>
  <si>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</si>
  <si>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</si>
  <si>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</si>
  <si>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</si>
  <si>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</si>
  <si>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</si>
  <si>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</si>
  <si>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</si>
  <si>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</si>
  <si>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</si>
  <si>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</si>
  <si>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</si>
  <si>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</si>
  <si>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</si>
  <si>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</si>
  <si>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</si>
  <si>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</si>
  <si>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</si>
  <si>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</si>
  <si>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</si>
  <si>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</si>
  <si>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</si>
  <si>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</si>
  <si>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</si>
  <si>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</si>
  <si>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</si>
  <si>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</si>
  <si>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</si>
  <si>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</si>
  <si>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</si>
  <si>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</si>
  <si>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</si>
  <si>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</si>
  <si>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</si>
  <si>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</si>
  <si>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</si>
  <si>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</si>
  <si>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</si>
  <si>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</si>
  <si>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</si>
  <si>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</si>
  <si>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</si>
  <si>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</si>
  <si>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</si>
  <si>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</si>
  <si>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</si>
  <si>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</si>
  <si>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</si>
  <si>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</si>
  <si>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</si>
  <si>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</si>
  <si>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</si>
  <si>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</si>
  <si>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</si>
  <si>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</si>
  <si>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</si>
  <si>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</si>
  <si>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</si>
  <si>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</si>
  <si>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</si>
  <si>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</si>
  <si>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</si>
  <si>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</si>
  <si>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</si>
  <si>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</si>
  <si>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</si>
  <si>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</si>
  <si>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</si>
  <si>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</si>
  <si>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</si>
  <si>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</si>
  <si>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</si>
  <si>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</si>
  <si>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</si>
  <si>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</si>
  <si>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</si>
  <si>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</si>
  <si>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</si>
  <si>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</si>
  <si>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</si>
  <si>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</si>
  <si>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</si>
  <si>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</si>
  <si>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</si>
  <si>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</si>
  <si>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</si>
  <si>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</si>
  <si>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</si>
  <si>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</si>
  <si>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</si>
  <si>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</si>
  <si>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</si>
  <si>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</si>
  <si>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</si>
  <si>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</si>
  <si>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</si>
  <si>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</si>
  <si>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</si>
  <si>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</si>
  <si>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</si>
  <si>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</si>
  <si>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</si>
  <si>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</si>
  <si>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</si>
  <si>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</si>
  <si>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</si>
  <si>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</si>
  <si>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</si>
  <si>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</si>
  <si>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</si>
  <si>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</si>
  <si>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</si>
  <si>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</si>
  <si>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</si>
  <si>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</si>
  <si>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</si>
  <si>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</si>
  <si>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</si>
  <si>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</si>
  <si>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</si>
  <si>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</si>
  <si>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</si>
  <si>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</si>
  <si>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</si>
  <si>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</si>
  <si>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</si>
  <si>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</si>
  <si>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</si>
  <si>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</si>
  <si>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</si>
  <si>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</si>
  <si>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</si>
  <si>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</si>
  <si>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</si>
  <si>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</si>
  <si>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</si>
  <si>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</si>
  <si>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</si>
  <si>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</si>
  <si>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</si>
  <si>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</si>
  <si>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</si>
  <si>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</si>
  <si>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</si>
  <si>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</si>
  <si>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</si>
  <si>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</si>
  <si>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</si>
  <si>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</si>
  <si>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</si>
  <si>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</si>
  <si>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</si>
  <si>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</si>
  <si>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</si>
  <si>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</si>
  <si>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</si>
  <si>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</si>
  <si>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</si>
  <si>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</si>
  <si>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</si>
  <si>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</si>
  <si>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</si>
  <si>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</si>
  <si>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</si>
  <si>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</si>
  <si>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</si>
  <si>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</si>
  <si>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</si>
  <si>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</si>
  <si>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</si>
  <si>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</si>
  <si>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</si>
  <si>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</si>
  <si>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</si>
  <si>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</si>
  <si>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</si>
  <si>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</si>
  <si>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</si>
  <si>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</si>
  <si>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</si>
  <si>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</si>
  <si>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</si>
  <si>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</si>
  <si>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</si>
  <si>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</si>
  <si>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</si>
  <si>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</si>
  <si>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</si>
  <si>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</si>
  <si>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</si>
  <si>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</si>
  <si>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</si>
  <si>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</si>
  <si>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</si>
  <si>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</si>
  <si>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</si>
  <si>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</si>
  <si>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</si>
  <si>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</si>
  <si>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</si>
  <si>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</si>
  <si>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</si>
  <si>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</si>
  <si>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</si>
  <si>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</si>
  <si>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</si>
  <si>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</si>
  <si>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</si>
  <si>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</si>
  <si>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</si>
  <si>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</si>
  <si>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</si>
  <si>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</si>
  <si>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</si>
  <si>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</si>
  <si>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</si>
  <si>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</si>
  <si>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</si>
  <si>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</si>
  <si>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</si>
  <si>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</si>
  <si>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</si>
  <si>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</si>
  <si>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</si>
  <si>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</si>
  <si>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</si>
  <si>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</si>
  <si>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</si>
  <si>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</si>
  <si>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</si>
  <si>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</si>
  <si>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</si>
  <si>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</si>
  <si>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</si>
  <si>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</si>
  <si>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</si>
  <si>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</si>
  <si>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</si>
  <si>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</si>
  <si>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</si>
  <si>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</si>
  <si>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</si>
  <si>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</si>
  <si>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</si>
  <si>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</si>
  <si>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</si>
  <si>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</si>
  <si>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</si>
  <si>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</si>
  <si>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</si>
  <si>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</si>
  <si>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</si>
  <si>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</si>
  <si>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</si>
  <si>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</si>
  <si>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</si>
  <si>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</si>
  <si>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</si>
  <si>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</si>
  <si>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</si>
  <si>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</si>
  <si>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</si>
  <si>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</si>
  <si>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</si>
  <si>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</si>
  <si>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</si>
  <si>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</si>
  <si>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</si>
  <si>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</si>
  <si>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</si>
  <si>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</si>
  <si>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</si>
  <si>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</si>
  <si>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</si>
  <si>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</si>
  <si>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</si>
  <si>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</si>
  <si>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</si>
  <si>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</si>
  <si>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</si>
  <si>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</si>
  <si>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</si>
  <si>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</si>
  <si>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</si>
  <si>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</si>
  <si>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</si>
  <si>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</si>
  <si>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</si>
  <si>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</si>
  <si>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</si>
  <si>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</si>
  <si>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</si>
  <si>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</si>
  <si>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</si>
  <si>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</si>
  <si>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</si>
  <si>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</si>
  <si>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</si>
  <si>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</si>
  <si>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</si>
  <si>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</si>
  <si>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</si>
  <si>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</si>
  <si>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</si>
  <si>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</si>
  <si>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</si>
  <si>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</si>
  <si>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</si>
  <si>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</si>
  <si>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</si>
  <si>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</si>
  <si>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</si>
  <si>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</si>
  <si>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</si>
  <si>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</si>
  <si>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</si>
  <si>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</si>
  <si>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</si>
  <si>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</si>
  <si>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</si>
  <si>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</si>
  <si>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</si>
  <si>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</si>
  <si>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</si>
  <si>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</si>
  <si>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</si>
  <si>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</si>
  <si>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</si>
  <si>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</si>
  <si>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</si>
  <si>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</si>
  <si>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</si>
  <si>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</si>
  <si>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</si>
  <si>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</si>
  <si>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</si>
  <si>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</si>
  <si>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</si>
  <si>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</si>
  <si>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</si>
  <si>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</si>
  <si>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</si>
  <si>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</si>
  <si>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</si>
  <si>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</si>
  <si>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</si>
  <si>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</si>
  <si>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</si>
  <si>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</si>
  <si>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</si>
  <si>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</si>
  <si>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</si>
  <si>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</si>
  <si>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</si>
  <si>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</si>
  <si>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</si>
  <si>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</si>
  <si>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</si>
  <si>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</si>
  <si>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</si>
  <si>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</si>
  <si>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</si>
  <si>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</si>
  <si>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</si>
  <si>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</si>
  <si>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</si>
  <si>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</si>
  <si>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</si>
  <si>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</si>
  <si>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</si>
  <si>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</si>
  <si>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</si>
  <si>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</si>
  <si>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</si>
  <si>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</si>
  <si>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</si>
  <si>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</si>
  <si>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</si>
  <si>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</si>
  <si>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</si>
  <si>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</si>
  <si>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</si>
  <si>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</si>
  <si>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</si>
  <si>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</si>
  <si>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</si>
  <si>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</si>
  <si>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</si>
  <si>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</si>
  <si>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</si>
  <si>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</si>
  <si>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</si>
  <si>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</si>
  <si>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</si>
  <si>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</si>
  <si>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</si>
  <si>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</si>
  <si>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</si>
  <si>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</si>
  <si>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</si>
  <si>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</si>
  <si>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</si>
  <si>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</si>
  <si>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</si>
  <si>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</si>
  <si>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</si>
  <si>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</si>
  <si>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</si>
  <si>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</si>
  <si>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</si>
  <si>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</si>
  <si>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</si>
  <si>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</si>
  <si>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</si>
  <si>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</si>
  <si>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</si>
  <si>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</si>
  <si>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</si>
  <si>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</si>
  <si>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</si>
  <si>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</si>
  <si>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</si>
  <si>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</si>
  <si>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</si>
  <si>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</si>
  <si>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</si>
  <si>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</si>
  <si>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</si>
  <si>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</si>
  <si>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</si>
  <si>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</si>
  <si>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</si>
  <si>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</si>
  <si>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</si>
  <si>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</si>
  <si>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</si>
  <si>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</si>
  <si>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</si>
  <si>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</si>
  <si>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</si>
  <si>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</si>
  <si>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</si>
  <si>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</si>
  <si>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</si>
  <si>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</si>
  <si>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</si>
  <si>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</si>
  <si>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</si>
  <si>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</si>
  <si>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</si>
  <si>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</si>
  <si>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</si>
  <si>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</si>
  <si>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</si>
  <si>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</si>
  <si>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</si>
  <si>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</si>
  <si>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</si>
  <si>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</si>
  <si>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</si>
  <si>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</si>
  <si>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</si>
  <si>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</si>
  <si>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</si>
  <si>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</si>
  <si>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</si>
  <si>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</si>
  <si>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</si>
  <si>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</si>
  <si>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</si>
  <si>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</si>
  <si>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</si>
  <si>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</si>
  <si>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</si>
  <si>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</si>
  <si>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</si>
  <si>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</si>
  <si>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</si>
  <si>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</si>
  <si>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</si>
  <si>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</si>
  <si>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</si>
  <si>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</si>
  <si>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</si>
  <si>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</si>
  <si>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</si>
  <si>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</si>
  <si>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</si>
  <si>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</si>
  <si>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</si>
  <si>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</si>
  <si>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</si>
  <si>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</si>
  <si>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</si>
  <si>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</si>
  <si>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</si>
  <si>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</si>
  <si>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</si>
  <si>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</si>
  <si>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</si>
  <si>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</si>
  <si>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</si>
  <si>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</si>
  <si>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</si>
  <si>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</si>
  <si>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</si>
  <si>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</si>
  <si>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</si>
  <si>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</si>
  <si>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</si>
  <si>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</si>
  <si>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</si>
  <si>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</si>
  <si>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</si>
  <si>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</si>
  <si>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</si>
  <si>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</si>
  <si>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</si>
  <si>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</si>
  <si>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</si>
  <si>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</si>
  <si>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</si>
  <si>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</si>
  <si>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</si>
  <si>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</si>
  <si>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</si>
  <si>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</si>
  <si>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</si>
  <si>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</si>
  <si>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</si>
  <si>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</si>
  <si>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</si>
  <si>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</si>
  <si>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</si>
  <si>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</si>
  <si>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</si>
  <si>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</si>
  <si>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</si>
  <si>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</si>
  <si>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</si>
  <si>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</si>
  <si>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</si>
  <si>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</si>
  <si>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</si>
  <si>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</si>
  <si>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</si>
  <si>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</si>
  <si>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</si>
  <si>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</si>
  <si>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</si>
  <si>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</si>
  <si>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</si>
  <si>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</si>
  <si>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</si>
  <si>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</si>
  <si>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</si>
  <si>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</si>
  <si>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</si>
  <si>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</si>
  <si>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</si>
  <si>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</si>
  <si>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</si>
  <si>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</si>
  <si>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</si>
  <si>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</si>
  <si>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</si>
  <si>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</si>
  <si>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</si>
  <si>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</si>
  <si>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</si>
  <si>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</si>
  <si>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</si>
  <si>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</si>
  <si>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</si>
  <si>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</si>
  <si>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</si>
  <si>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</si>
  <si>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</si>
  <si>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</si>
  <si>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</si>
  <si>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</si>
  <si>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</si>
  <si>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</si>
  <si>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</si>
  <si>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</si>
  <si>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</si>
  <si>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</si>
  <si>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</si>
  <si>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</si>
  <si>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</si>
  <si>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</si>
  <si>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</si>
  <si>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</si>
  <si>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</si>
  <si>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</si>
  <si>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</si>
  <si>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</si>
  <si>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</si>
  <si>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</si>
  <si>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</si>
  <si>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</si>
  <si>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</si>
  <si>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</si>
  <si>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</si>
  <si>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</si>
  <si>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</si>
  <si>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</si>
  <si>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</si>
  <si>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</si>
  <si>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</si>
  <si>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</si>
  <si>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</si>
  <si>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</si>
  <si>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</si>
  <si>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</si>
  <si>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</si>
  <si>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</si>
  <si>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</si>
  <si>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</si>
  <si>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</si>
  <si>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</si>
  <si>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</si>
  <si>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</si>
  <si>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</si>
  <si>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</si>
  <si>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</si>
  <si>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</si>
  <si>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</si>
  <si>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</si>
  <si>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</si>
  <si>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</si>
  <si>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</si>
  <si>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</si>
  <si>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</si>
  <si>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</si>
  <si>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</si>
  <si>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</si>
  <si>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</si>
  <si>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</si>
  <si>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</si>
  <si>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</si>
  <si>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</si>
  <si>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</si>
  <si>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</si>
  <si>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</si>
  <si>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</si>
  <si>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</si>
  <si>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</si>
  <si>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</si>
  <si>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</si>
  <si>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</si>
  <si>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</si>
  <si>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</si>
  <si>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</si>
  <si>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</si>
  <si>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</si>
  <si>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</si>
  <si>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</si>
  <si>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</si>
  <si>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</si>
  <si>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</si>
  <si>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</si>
  <si>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</si>
  <si>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</si>
  <si>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</si>
  <si>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</si>
  <si>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</si>
  <si>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</si>
  <si>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</si>
  <si>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</si>
  <si>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</si>
  <si>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</si>
  <si>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</si>
  <si>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</si>
  <si>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</si>
  <si>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</si>
  <si>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</si>
  <si>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</si>
  <si>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</si>
  <si>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</si>
  <si>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</si>
  <si>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</si>
  <si>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</si>
  <si>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</si>
  <si>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</si>
  <si>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</si>
  <si>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</si>
  <si>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</si>
  <si>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</si>
  <si>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</si>
  <si>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</si>
  <si>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</si>
  <si>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</si>
  <si>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</si>
  <si>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</si>
  <si>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</si>
  <si>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</si>
  <si>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</si>
  <si>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</si>
  <si>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</si>
  <si>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</si>
  <si>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</si>
  <si>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</si>
  <si>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</si>
  <si>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</si>
  <si>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</si>
  <si>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</si>
  <si>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</si>
  <si>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</si>
  <si>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</si>
  <si>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</si>
  <si>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</si>
  <si>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</si>
  <si>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</si>
  <si>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</si>
  <si>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</si>
  <si>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</si>
  <si>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</si>
  <si>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</si>
  <si>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</si>
  <si>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</si>
  <si>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</si>
  <si>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</si>
  <si>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</si>
  <si>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</si>
  <si>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</si>
  <si>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</si>
  <si>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</si>
  <si>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</si>
  <si>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</si>
  <si>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</si>
  <si>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</si>
  <si>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</si>
  <si>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</si>
  <si>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</si>
  <si>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</si>
  <si>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</si>
  <si>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</si>
  <si>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</si>
  <si>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</si>
  <si>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</si>
  <si>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</si>
  <si>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</si>
  <si>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</si>
  <si>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</si>
  <si>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</si>
  <si>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</si>
  <si>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</si>
  <si>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</si>
  <si>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</si>
  <si>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</si>
  <si>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</si>
  <si>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</si>
  <si>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</si>
  <si>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</si>
  <si>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</si>
  <si>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</si>
  <si>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</si>
  <si>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</si>
  <si>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</si>
  <si>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</si>
  <si>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</si>
  <si>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</si>
  <si>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</si>
  <si>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</si>
  <si>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</si>
  <si>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</si>
  <si>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</si>
  <si>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</si>
  <si>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</si>
  <si>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</si>
  <si>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</si>
  <si>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</si>
  <si>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</si>
  <si>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</si>
  <si>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</si>
  <si>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</si>
  <si>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</si>
  <si>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</si>
  <si>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</si>
  <si>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</si>
  <si>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</si>
  <si>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</si>
  <si>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</si>
  <si>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</si>
  <si>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</si>
  <si>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</si>
  <si>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</si>
  <si>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</si>
  <si>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</si>
  <si>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</si>
  <si>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</si>
  <si>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</si>
  <si>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</si>
  <si>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</si>
  <si>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</si>
  <si>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</si>
  <si>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</si>
  <si>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</si>
  <si>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</si>
  <si>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</si>
  <si>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</si>
  <si>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</si>
  <si>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</si>
  <si>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</si>
  <si>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</si>
  <si>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</si>
  <si>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</si>
  <si>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</si>
  <si>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</si>
  <si>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</si>
  <si>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</si>
  <si>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</si>
  <si>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</si>
  <si>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</si>
  <si>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</si>
  <si>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</si>
  <si>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</si>
  <si>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</si>
  <si>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</si>
  <si>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</si>
  <si>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</si>
  <si>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</si>
  <si>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</si>
  <si>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</si>
  <si>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</si>
  <si>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</si>
  <si>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</si>
  <si>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</si>
  <si>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</si>
  <si>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</si>
  <si>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</si>
  <si>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</si>
  <si>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</si>
  <si>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</si>
  <si>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</si>
  <si>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</si>
  <si>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</si>
  <si>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</si>
  <si>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</si>
  <si>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</si>
  <si>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</si>
  <si>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</si>
  <si>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</si>
  <si>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</si>
  <si>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</si>
  <si>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</si>
  <si>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</si>
  <si>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</si>
  <si>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</si>
  <si>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</si>
  <si>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</si>
  <si>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</si>
  <si>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</si>
  <si>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</si>
  <si>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</si>
  <si>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</si>
  <si>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</si>
  <si>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</si>
  <si>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</si>
  <si>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</si>
  <si>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</si>
  <si>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</si>
  <si>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</si>
  <si>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</si>
  <si>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</si>
  <si>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</si>
  <si>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</si>
  <si>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</si>
  <si>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</si>
  <si>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</si>
  <si>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</si>
  <si>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</si>
  <si>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</si>
  <si>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</si>
  <si>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</si>
  <si>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</si>
  <si>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</si>
  <si>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</si>
  <si>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</si>
  <si>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</si>
  <si>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</si>
  <si>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</si>
  <si>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</si>
  <si>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</si>
  <si>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</si>
  <si>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</si>
  <si>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</si>
  <si>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</si>
  <si>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</si>
  <si>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</si>
  <si>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</si>
  <si>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</si>
  <si>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</si>
  <si>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</si>
  <si>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</si>
  <si>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</si>
  <si>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</si>
  <si>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</si>
  <si>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</si>
  <si>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</si>
  <si>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</si>
  <si>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</si>
  <si>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</si>
  <si>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</si>
  <si>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</si>
  <si>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</si>
  <si>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</si>
  <si>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</si>
  <si>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</si>
  <si>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</si>
  <si>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</si>
  <si>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</si>
  <si>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</si>
  <si>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</si>
  <si>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</si>
  <si>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</si>
  <si>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</si>
  <si>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</si>
  <si>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</si>
  <si>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</si>
  <si>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</si>
  <si>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</si>
  <si>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</si>
  <si>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</si>
  <si>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</si>
  <si>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</si>
  <si>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</si>
  <si>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</si>
  <si>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</si>
  <si>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</si>
  <si>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</si>
  <si>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</si>
  <si>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</si>
  <si>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</si>
  <si>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</si>
  <si>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</si>
  <si>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</si>
  <si>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</si>
  <si>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</si>
  <si>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</si>
  <si>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</si>
  <si>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</si>
  <si>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</si>
  <si>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</si>
  <si>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</si>
  <si>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</si>
  <si>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</si>
  <si>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</si>
  <si>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</si>
  <si>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</si>
  <si>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</si>
  <si>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</si>
  <si>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</si>
  <si>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</si>
  <si>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</si>
  <si>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</si>
  <si>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</si>
  <si>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</si>
  <si>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</si>
  <si>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</si>
  <si>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</si>
  <si>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</si>
  <si>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</si>
  <si>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</si>
  <si>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</si>
  <si>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</si>
  <si>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</si>
  <si>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</si>
  <si>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</si>
  <si>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</si>
  <si>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</si>
  <si>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</si>
  <si>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</si>
  <si>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</si>
  <si>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</si>
  <si>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</si>
  <si>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</si>
  <si>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</si>
  <si>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</si>
  <si>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</si>
  <si>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</si>
  <si>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</si>
  <si>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</si>
  <si>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</si>
  <si>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</si>
  <si>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</si>
  <si>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</si>
  <si>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</si>
  <si>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</si>
  <si>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</si>
  <si>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</si>
  <si>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</si>
  <si>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</si>
  <si>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</si>
  <si>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</si>
  <si>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</si>
  <si>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</si>
  <si>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</si>
  <si>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</si>
  <si>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</si>
  <si>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</si>
  <si>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</si>
  <si>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</si>
  <si>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</si>
  <si>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</si>
  <si>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</si>
  <si>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</si>
  <si>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</si>
  <si>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</si>
  <si>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</si>
  <si>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</si>
  <si>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</si>
  <si>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</si>
  <si>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</si>
  <si>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</si>
  <si>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</si>
  <si>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</si>
  <si>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</si>
  <si>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</si>
  <si>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</si>
  <si>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</si>
  <si>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</si>
  <si>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</si>
  <si>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</si>
  <si>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</si>
  <si>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</si>
  <si>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</si>
  <si>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</si>
  <si>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</si>
  <si>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</si>
  <si>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</si>
  <si>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</si>
  <si>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</si>
  <si>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</si>
  <si>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</si>
  <si>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</si>
  <si>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</si>
  <si>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</si>
  <si>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</si>
  <si>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</si>
  <si>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</si>
  <si>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</si>
  <si>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</si>
  <si>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</si>
  <si>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</si>
  <si>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</si>
  <si>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</si>
  <si>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</si>
  <si>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</si>
  <si>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</si>
  <si>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</si>
  <si>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</si>
  <si>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</si>
  <si>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</si>
  <si>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</si>
  <si>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</si>
  <si>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</si>
  <si>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</si>
  <si>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</si>
  <si>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</si>
  <si>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</si>
  <si>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</si>
  <si>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</si>
  <si>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</si>
  <si>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</si>
  <si>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</si>
  <si>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</si>
  <si>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</si>
  <si>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</si>
  <si>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</si>
  <si>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</si>
  <si>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</si>
  <si>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</si>
  <si>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</si>
  <si>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</si>
  <si>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</si>
  <si>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</si>
  <si>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</si>
  <si>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</si>
  <si>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</si>
  <si>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</si>
  <si>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</si>
  <si>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</si>
  <si>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</si>
  <si>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</si>
  <si>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</si>
  <si>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</si>
  <si>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</si>
  <si>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</si>
  <si>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</si>
  <si>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</si>
  <si>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</si>
  <si>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</si>
  <si>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</si>
  <si>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</si>
  <si>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</si>
  <si>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</si>
  <si>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</si>
  <si>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</si>
  <si>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</si>
  <si>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</si>
  <si>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</si>
  <si>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</si>
  <si>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</si>
  <si>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</si>
  <si>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</si>
  <si>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</si>
  <si>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</si>
  <si>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</si>
  <si>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</si>
  <si>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</si>
  <si>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</si>
  <si>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</si>
  <si>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</si>
  <si>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</si>
  <si>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</si>
  <si>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</si>
  <si>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</si>
  <si>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</si>
  <si>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</si>
  <si>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</si>
  <si>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</si>
  <si>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</si>
  <si>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</si>
  <si>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</si>
  <si>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</si>
  <si>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</si>
  <si>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</si>
  <si>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</si>
  <si>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</si>
  <si>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</si>
  <si>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</si>
  <si>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</si>
  <si>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</si>
  <si>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</si>
  <si>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</si>
  <si>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</si>
  <si>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</si>
  <si>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</si>
  <si>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</si>
  <si>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</si>
  <si>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</si>
  <si>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</si>
  <si>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</si>
  <si>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</si>
  <si>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</si>
  <si>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</si>
  <si>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</si>
  <si>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</si>
  <si>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</si>
  <si>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</si>
  <si>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</si>
  <si>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</si>
  <si>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</si>
  <si>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</si>
  <si>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</si>
  <si>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</si>
  <si>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</si>
  <si>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</si>
  <si>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</si>
  <si>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</si>
  <si>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</si>
  <si>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</si>
  <si>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</si>
  <si>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</si>
  <si>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</si>
  <si>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</si>
  <si>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</si>
  <si>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</si>
  <si>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</si>
  <si>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</si>
  <si>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</si>
  <si>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</si>
  <si>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</si>
  <si>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</si>
  <si>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</si>
  <si>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</si>
  <si>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</si>
  <si>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</si>
  <si>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</si>
  <si>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</si>
  <si>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</si>
  <si>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</si>
  <si>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</si>
  <si>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</si>
  <si>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</si>
  <si>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</si>
  <si>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</si>
  <si>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</si>
  <si>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</si>
  <si>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</si>
  <si>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</si>
  <si>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</si>
  <si>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</si>
  <si>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</si>
  <si>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</si>
  <si>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</si>
  <si>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</si>
  <si>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</si>
  <si>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</si>
  <si>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</si>
  <si>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</si>
  <si>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</si>
  <si>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</si>
  <si>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</si>
  <si>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</si>
  <si>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</si>
  <si>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</si>
  <si>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</si>
  <si>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</si>
  <si>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</si>
  <si>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</si>
  <si>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</si>
  <si>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</si>
  <si>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</si>
  <si>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</si>
  <si>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</si>
  <si>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</si>
  <si>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</si>
  <si>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</si>
  <si>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</si>
  <si>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</si>
  <si>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</si>
  <si>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</si>
  <si>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</si>
  <si>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</si>
  <si>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</si>
  <si>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</si>
  <si>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</si>
  <si>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</si>
  <si>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</si>
  <si>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</si>
  <si>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</si>
  <si>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</si>
  <si>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</si>
  <si>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</si>
  <si>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</si>
  <si>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</si>
  <si>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</si>
  <si>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</si>
  <si>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</si>
  <si>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</si>
  <si>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</si>
  <si>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</si>
  <si>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</si>
  <si>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</si>
  <si>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</si>
  <si>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</si>
  <si>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</si>
  <si>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</si>
  <si>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</si>
  <si>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</si>
  <si>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</si>
  <si>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</si>
  <si>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</si>
  <si>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</si>
  <si>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</si>
  <si>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</si>
  <si>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</si>
  <si>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</si>
  <si>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</si>
  <si>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</si>
  <si>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</si>
  <si>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</si>
  <si>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</si>
  <si>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</si>
  <si>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</si>
  <si>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</si>
  <si>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</si>
  <si>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</si>
  <si>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</si>
  <si>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</si>
  <si>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</si>
  <si>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</si>
  <si>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</si>
  <si>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</si>
  <si>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</si>
  <si>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</si>
  <si>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</si>
  <si>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</si>
  <si>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</si>
  <si>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</si>
  <si>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</si>
  <si>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</si>
  <si>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</si>
  <si>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</si>
  <si>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</si>
  <si>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</si>
  <si>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</si>
  <si>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</si>
  <si>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</si>
  <si>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</si>
  <si>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</si>
  <si>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</si>
  <si>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</si>
  <si>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</si>
  <si>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</si>
  <si>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</si>
  <si>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</si>
  <si>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</si>
  <si>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</si>
  <si>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</si>
  <si>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</si>
  <si>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</si>
  <si>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</si>
  <si>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</si>
  <si>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</si>
  <si>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</si>
  <si>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</si>
  <si>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</si>
  <si>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</si>
  <si>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</si>
  <si>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</si>
  <si>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</si>
  <si>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</si>
  <si>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</si>
  <si>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</si>
  <si>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</si>
  <si>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</si>
  <si>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</si>
  <si>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</si>
  <si>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</si>
  <si>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</si>
  <si>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</si>
  <si>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</si>
  <si>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</si>
  <si>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</si>
  <si>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</si>
  <si>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</si>
  <si>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</si>
  <si>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</si>
  <si>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</si>
  <si>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</si>
  <si>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</si>
  <si>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</si>
  <si>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</si>
  <si>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</si>
  <si>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</si>
  <si>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</si>
  <si>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</si>
  <si>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</si>
  <si>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</si>
  <si>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</si>
  <si>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</si>
  <si>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</si>
  <si>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</si>
  <si>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</si>
  <si>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</si>
  <si>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</si>
  <si>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</si>
  <si>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</si>
  <si>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</si>
  <si>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</si>
  <si>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</si>
  <si>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</si>
  <si>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</si>
  <si>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</si>
  <si>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</si>
  <si>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</si>
  <si>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</si>
  <si>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</si>
  <si>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</si>
  <si>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</si>
  <si>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</si>
  <si>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</si>
  <si>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</si>
  <si>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</si>
  <si>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</si>
  <si>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</si>
  <si>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</si>
  <si>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</si>
  <si>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</si>
  <si>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</si>
  <si>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</si>
  <si>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</si>
  <si>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</si>
  <si>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</si>
  <si>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</si>
  <si>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</si>
  <si>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</si>
  <si>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</si>
  <si>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</si>
  <si>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</si>
  <si>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</si>
  <si>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</si>
  <si>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</si>
  <si>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</si>
  <si>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</si>
  <si>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</si>
  <si>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</si>
  <si>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</si>
  <si>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</si>
  <si>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</si>
  <si>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</si>
  <si>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</si>
  <si>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</si>
  <si>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</si>
  <si>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</si>
  <si>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</si>
  <si>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</si>
  <si>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</si>
  <si>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</si>
  <si>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</si>
  <si>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</si>
  <si>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</si>
  <si>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</si>
  <si>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</si>
  <si>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</si>
  <si>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</si>
  <si>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</si>
  <si>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</si>
  <si>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</si>
  <si>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</si>
  <si>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</si>
  <si>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</si>
  <si>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</si>
  <si>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</si>
  <si>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</si>
  <si>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</si>
  <si>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</si>
  <si>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</si>
  <si>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</si>
  <si>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</si>
  <si>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</si>
  <si>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</si>
  <si>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</si>
  <si>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</si>
  <si>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</si>
  <si>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</si>
  <si>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</si>
  <si>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</si>
  <si>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</si>
  <si>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</si>
  <si>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</si>
  <si>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</si>
  <si>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</si>
  <si>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</si>
  <si>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</si>
  <si>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</si>
  <si>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</si>
  <si>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</si>
  <si>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</si>
  <si>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</si>
  <si>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</si>
  <si>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</si>
  <si>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</si>
  <si>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</si>
  <si>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</si>
  <si>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</si>
  <si>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</si>
  <si>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</si>
  <si>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</si>
  <si>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</si>
  <si>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</si>
  <si>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</si>
  <si>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</si>
  <si>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</si>
  <si>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</si>
  <si>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</si>
  <si>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</si>
  <si>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</si>
  <si>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</si>
  <si>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</si>
  <si>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</si>
  <si>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</si>
  <si>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</si>
  <si>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</si>
  <si>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</si>
  <si>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</si>
  <si>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</si>
  <si>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</si>
  <si>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</si>
  <si>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</si>
  <si>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</si>
  <si>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</si>
  <si>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</si>
  <si>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</si>
  <si>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</si>
  <si>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</si>
  <si>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</si>
  <si>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</si>
  <si>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</si>
  <si>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</si>
  <si>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</si>
  <si>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</si>
  <si>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</si>
  <si>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</si>
  <si>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</si>
  <si>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</si>
  <si>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</si>
  <si>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</si>
  <si>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</si>
  <si>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</si>
  <si>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</si>
  <si>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</si>
  <si>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</si>
  <si>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</si>
  <si>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</si>
  <si>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</si>
  <si>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</si>
  <si>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</si>
  <si>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</si>
  <si>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</si>
  <si>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</si>
  <si>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</si>
  <si>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</si>
  <si>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</si>
  <si>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</si>
  <si>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</si>
  <si>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</si>
  <si>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</si>
  <si>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</si>
  <si>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</si>
  <si>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</si>
  <si>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</si>
  <si>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</si>
  <si>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</si>
  <si>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</si>
  <si>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</si>
  <si>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</si>
  <si>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</si>
  <si>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</si>
  <si>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</si>
  <si>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</si>
  <si>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</si>
  <si>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</si>
  <si>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</si>
  <si>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</si>
  <si>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</si>
  <si>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</si>
  <si>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</si>
  <si>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</si>
  <si>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</si>
  <si>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</si>
  <si>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</si>
  <si>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</si>
  <si>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</si>
  <si>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</si>
  <si>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</si>
  <si>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</si>
  <si>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</si>
  <si>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</si>
  <si>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</si>
  <si>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</si>
  <si>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</si>
  <si>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</si>
  <si>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</si>
  <si>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</si>
  <si>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</si>
  <si>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</si>
  <si>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</si>
  <si>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</si>
  <si>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</si>
  <si>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</si>
  <si>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</si>
  <si>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</si>
  <si>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</si>
  <si>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</si>
  <si>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</si>
  <si>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</si>
  <si>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</si>
  <si>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</si>
  <si>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</si>
  <si>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</si>
  <si>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</si>
  <si>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</si>
  <si>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</si>
  <si>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</si>
  <si>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</si>
  <si>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</si>
  <si>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</si>
  <si>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</si>
  <si>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</si>
  <si>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</si>
  <si>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</si>
  <si>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</si>
  <si>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</si>
  <si>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</si>
  <si>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</si>
  <si>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</si>
  <si>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</si>
  <si>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</si>
  <si>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</si>
  <si>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</si>
  <si>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</si>
  <si>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</si>
  <si>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</si>
  <si>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</si>
  <si>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</si>
  <si>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</si>
  <si>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</si>
  <si>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</si>
  <si>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</si>
  <si>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</si>
  <si>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</si>
  <si>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</si>
  <si>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</si>
  <si>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</si>
  <si>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</si>
  <si>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</si>
  <si>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</si>
  <si>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</si>
  <si>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</si>
  <si>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</si>
  <si>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</si>
  <si>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</si>
  <si>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</si>
  <si>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</si>
  <si>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</si>
  <si>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</si>
  <si>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</si>
  <si>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</si>
  <si>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</si>
  <si>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</si>
  <si>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</si>
  <si>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</si>
  <si>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</si>
  <si>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</si>
  <si>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</si>
  <si>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</si>
  <si>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</si>
  <si>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</si>
  <si>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</si>
  <si>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</si>
  <si>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</si>
  <si>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</si>
  <si>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</si>
  <si>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</si>
  <si>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</si>
  <si>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</si>
  <si>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</si>
  <si>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</si>
  <si>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</si>
  <si>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</si>
  <si>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</si>
  <si>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</si>
  <si>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</si>
  <si>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</si>
  <si>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</si>
  <si>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</si>
  <si>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</si>
  <si>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</si>
  <si>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</si>
  <si>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</si>
  <si>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</si>
  <si>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</si>
  <si>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</si>
  <si>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</si>
  <si>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</si>
  <si>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</si>
  <si>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</si>
  <si>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</si>
  <si>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</si>
  <si>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</si>
  <si>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</si>
  <si>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</si>
  <si>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</si>
  <si>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</si>
  <si>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</si>
  <si>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</si>
  <si>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</si>
  <si>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</si>
  <si>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</si>
  <si>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</si>
  <si>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</si>
  <si>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</si>
  <si>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</si>
  <si>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</si>
  <si>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</si>
  <si>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</si>
  <si>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</si>
  <si>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</si>
  <si>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</si>
  <si>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</si>
  <si>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</si>
  <si>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</si>
  <si>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</si>
  <si>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</si>
  <si>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</si>
  <si>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</si>
  <si>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</si>
  <si>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</si>
  <si>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</si>
  <si>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</si>
  <si>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</si>
  <si>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</si>
  <si>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</si>
  <si>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</si>
  <si>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</si>
  <si>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</si>
  <si>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</si>
  <si>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</si>
  <si>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</si>
  <si>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</si>
  <si>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</si>
  <si>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</si>
  <si>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</si>
  <si>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</si>
  <si>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</si>
  <si>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</si>
  <si>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</si>
  <si>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</si>
  <si>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</si>
  <si>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</si>
  <si>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</si>
  <si>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</si>
  <si>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</si>
  <si>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</si>
  <si>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</si>
  <si>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</si>
  <si>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</si>
  <si>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</si>
  <si>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</si>
  <si>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</si>
  <si>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</si>
  <si>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</si>
  <si>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</si>
  <si>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</si>
  <si>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</si>
  <si>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</si>
  <si>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</si>
  <si>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</si>
  <si>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</si>
  <si>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</si>
  <si>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</si>
  <si>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</si>
  <si>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</si>
  <si>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</si>
  <si>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</si>
  <si>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</si>
  <si>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</si>
  <si>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</si>
  <si>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</si>
  <si>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</si>
  <si>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</si>
  <si>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</si>
  <si>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</si>
  <si>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</si>
  <si>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</si>
  <si>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</si>
  <si>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</si>
  <si>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</si>
  <si>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</si>
  <si>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</si>
  <si>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</si>
  <si>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</si>
  <si>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</si>
  <si>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</si>
  <si>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</si>
  <si>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</si>
  <si>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</si>
  <si>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</si>
  <si>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</si>
  <si>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</si>
  <si>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</si>
  <si>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</si>
  <si>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</si>
  <si>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</si>
  <si>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</si>
  <si>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</si>
  <si>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</si>
  <si>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</si>
  <si>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</si>
  <si>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</si>
  <si>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</si>
  <si>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</si>
  <si>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</si>
  <si>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</si>
  <si>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</si>
  <si>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</si>
  <si>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</si>
  <si>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</si>
  <si>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</si>
  <si>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</si>
  <si>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</si>
  <si>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</si>
  <si>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</si>
  <si>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</si>
  <si>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</si>
  <si>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</si>
  <si>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</si>
  <si>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</si>
  <si>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</si>
  <si>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</si>
  <si>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</si>
  <si>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</si>
  <si>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</si>
  <si>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</si>
  <si>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</si>
  <si>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</si>
  <si>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</si>
  <si>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</si>
  <si>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</si>
  <si>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</si>
  <si>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</si>
  <si>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</si>
  <si>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</si>
  <si>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</si>
  <si>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</si>
  <si>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</si>
  <si>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</si>
  <si>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</si>
  <si>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</si>
  <si>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</si>
  <si>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</si>
  <si>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</si>
  <si>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</si>
  <si>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</si>
  <si>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</si>
  <si>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</si>
  <si>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</si>
  <si>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</si>
  <si>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</si>
  <si>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</si>
  <si>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</si>
  <si>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</si>
  <si>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</si>
  <si>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</si>
  <si>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</si>
  <si>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</si>
  <si>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</si>
  <si>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</si>
  <si>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</si>
  <si>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</si>
  <si>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</si>
  <si>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</si>
  <si>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</si>
  <si>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</si>
  <si>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</si>
  <si>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</si>
  <si>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</si>
  <si>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</si>
  <si>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</si>
  <si>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</si>
  <si>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</si>
  <si>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</si>
  <si>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</si>
  <si>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</si>
  <si>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</si>
  <si>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</si>
  <si>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</si>
  <si>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</si>
  <si>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</si>
  <si>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</si>
  <si>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</si>
  <si>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</si>
  <si>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</si>
  <si>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</si>
  <si>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</si>
  <si>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</si>
  <si>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</si>
  <si>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</si>
  <si>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</si>
  <si>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</si>
  <si>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</si>
  <si>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</si>
  <si>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</si>
  <si>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</si>
  <si>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</si>
  <si>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</si>
  <si>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</si>
  <si>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</si>
  <si>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</si>
  <si>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</si>
  <si>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</si>
  <si>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</si>
  <si>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</si>
  <si>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</si>
  <si>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</si>
  <si>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</si>
  <si>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</si>
  <si>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</si>
  <si>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</si>
  <si>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</si>
  <si>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</si>
  <si>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</si>
  <si>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</si>
  <si>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</si>
  <si>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</si>
  <si>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</si>
  <si>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</si>
  <si>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</si>
  <si>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</si>
  <si>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</si>
  <si>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</si>
  <si>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</si>
  <si>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</si>
  <si>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</si>
  <si>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</si>
  <si>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</si>
  <si>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</si>
  <si>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</si>
  <si>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</si>
  <si>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</si>
  <si>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</si>
  <si>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</si>
  <si>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</si>
  <si>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</si>
  <si>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</si>
  <si>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</si>
  <si>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</si>
  <si>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</si>
  <si>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</si>
  <si>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</si>
  <si>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</si>
  <si>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</si>
  <si>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</si>
  <si>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</si>
  <si>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</si>
  <si>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</si>
  <si>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</si>
  <si>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</si>
  <si>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</si>
  <si>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</si>
  <si>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</si>
  <si>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</si>
  <si>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</si>
  <si>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</si>
  <si>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</si>
  <si>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</si>
  <si>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</si>
  <si>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</si>
  <si>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</si>
  <si>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</si>
  <si>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</si>
  <si>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</si>
  <si>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</si>
  <si>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</si>
  <si>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</si>
  <si>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</si>
  <si>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</si>
  <si>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</si>
  <si>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</si>
  <si>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</si>
  <si>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</si>
  <si>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</si>
  <si>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</si>
  <si>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</si>
  <si>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</si>
  <si>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</si>
  <si>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</si>
  <si>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</si>
  <si>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</si>
  <si>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</si>
  <si>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</si>
  <si>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</si>
  <si>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</si>
  <si>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</si>
  <si>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</si>
  <si>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</si>
  <si>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</si>
  <si>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</si>
  <si>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</si>
  <si>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</si>
  <si>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</si>
  <si>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</si>
  <si>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</si>
  <si>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</si>
  <si>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</si>
  <si>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</si>
  <si>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</si>
  <si>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</si>
  <si>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</si>
  <si>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</si>
  <si>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</si>
  <si>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</si>
  <si>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</si>
  <si>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</si>
  <si>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</si>
  <si>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</si>
  <si>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</si>
  <si>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</si>
  <si>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</si>
  <si>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</si>
  <si>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</si>
  <si>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</si>
  <si>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</si>
  <si>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</si>
  <si>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</si>
  <si>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</si>
  <si>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</si>
  <si>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</si>
  <si>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</si>
  <si>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</si>
  <si>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</si>
  <si>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</si>
  <si>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</si>
  <si>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</si>
  <si>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</si>
  <si>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</si>
  <si>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</si>
  <si>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</si>
  <si>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</si>
  <si>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</si>
  <si>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</si>
  <si>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</si>
  <si>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</si>
  <si>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</si>
  <si>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</si>
  <si>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</si>
  <si>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</si>
  <si>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</si>
  <si>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</si>
  <si>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</si>
  <si>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</si>
  <si>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</si>
  <si>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</si>
  <si>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</si>
  <si>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</si>
  <si>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</si>
  <si>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</si>
  <si>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</si>
  <si>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</si>
  <si>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</si>
  <si>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</si>
  <si>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</si>
  <si>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</si>
  <si>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</si>
  <si>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</si>
  <si>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</si>
  <si>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</si>
  <si>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</si>
  <si>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</si>
  <si>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</si>
  <si>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</si>
  <si>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</si>
  <si>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</si>
  <si>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</si>
  <si>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</si>
  <si>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</si>
  <si>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</si>
  <si>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</si>
  <si>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</si>
  <si>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</si>
  <si>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</si>
  <si>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</si>
  <si>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</si>
  <si>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</si>
  <si>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</si>
  <si>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</si>
  <si>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</si>
  <si>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</si>
  <si>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</si>
  <si>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</si>
  <si>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</si>
  <si>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</si>
  <si>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</si>
  <si>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</si>
  <si>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</si>
  <si>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</si>
  <si>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</si>
  <si>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</si>
  <si>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</si>
  <si>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</si>
  <si>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</si>
  <si>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</si>
  <si>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</si>
  <si>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</si>
  <si>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</si>
  <si>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</si>
  <si>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</si>
  <si>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</si>
  <si>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</si>
  <si>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</si>
  <si>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</si>
  <si>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</si>
  <si>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</si>
  <si>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</si>
  <si>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</si>
  <si>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</si>
  <si>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</si>
  <si>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</si>
  <si>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</si>
  <si>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</si>
  <si>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</si>
  <si>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</si>
  <si>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</si>
  <si>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</si>
  <si>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</si>
  <si>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</si>
  <si>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</si>
  <si>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</si>
  <si>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</si>
  <si>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</si>
  <si>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</si>
  <si>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</si>
  <si>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</si>
  <si>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</si>
  <si>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</si>
  <si>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</si>
  <si>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</si>
  <si>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</si>
  <si>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</si>
  <si>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</si>
  <si>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</si>
  <si>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</si>
  <si>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</si>
  <si>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</si>
  <si>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</si>
  <si>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</si>
  <si>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</si>
  <si>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</si>
  <si>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</si>
  <si>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</si>
  <si>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</si>
  <si>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</si>
  <si>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</si>
  <si>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</si>
  <si>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</si>
  <si>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</si>
  <si>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</si>
  <si>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</si>
  <si>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</si>
  <si>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</si>
  <si>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</si>
  <si>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</si>
  <si>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</si>
  <si>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</si>
  <si>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</si>
  <si>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</si>
  <si>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</si>
  <si>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</si>
  <si>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</si>
  <si>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</si>
  <si>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</si>
  <si>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</si>
  <si>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</si>
  <si>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</si>
  <si>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</si>
  <si>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</si>
  <si>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</si>
  <si>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</si>
  <si>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</si>
  <si>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</si>
  <si>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</si>
  <si>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</si>
  <si>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</si>
  <si>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</si>
  <si>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</si>
  <si>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</si>
  <si>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</si>
  <si>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</si>
  <si>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</si>
  <si>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</si>
  <si>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</si>
  <si>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</si>
  <si>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</si>
  <si>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</si>
  <si>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</si>
  <si>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</si>
  <si>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</si>
  <si>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</si>
  <si>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</si>
  <si>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</si>
  <si>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</si>
  <si>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</si>
  <si>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</si>
  <si>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</si>
  <si>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</si>
  <si>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</si>
  <si>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</si>
  <si>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</si>
  <si>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</si>
  <si>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</si>
  <si>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</si>
  <si>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</si>
  <si>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</si>
  <si>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</si>
  <si>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</si>
  <si>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</si>
  <si>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</si>
  <si>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</si>
  <si>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</si>
  <si>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</si>
  <si>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</si>
  <si>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</si>
  <si>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</si>
  <si>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</si>
  <si>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</si>
  <si>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</si>
  <si>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</si>
  <si>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</si>
  <si>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</si>
  <si>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</si>
  <si>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</si>
  <si>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</si>
  <si>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</si>
  <si>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</si>
  <si>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</si>
  <si>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</si>
  <si>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</si>
  <si>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</si>
  <si>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</si>
  <si>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</si>
  <si>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</si>
  <si>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</si>
  <si>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</si>
  <si>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</si>
  <si>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</si>
  <si>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</si>
  <si>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</si>
  <si>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</si>
  <si>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</si>
  <si>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</si>
  <si>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</si>
  <si>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</si>
  <si>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</si>
  <si>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</si>
  <si>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</si>
  <si>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</si>
  <si>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</si>
  <si>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</si>
  <si>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</si>
  <si>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</si>
  <si>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</si>
  <si>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</si>
  <si>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</si>
  <si>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</si>
  <si>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</si>
  <si>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</si>
  <si>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</si>
  <si>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</si>
  <si>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</si>
  <si>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</si>
  <si>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</si>
  <si>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</si>
  <si>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</si>
  <si>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</si>
  <si>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</si>
  <si>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</si>
  <si>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</si>
  <si>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</si>
  <si>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</si>
  <si>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</si>
  <si>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</si>
  <si>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</si>
  <si>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</si>
  <si>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</si>
  <si>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</si>
  <si>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</si>
  <si>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</si>
  <si>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</si>
  <si>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</si>
  <si>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</si>
  <si>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</si>
  <si>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</si>
  <si>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</si>
  <si>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</si>
  <si>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</si>
  <si>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</si>
  <si>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</si>
  <si>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</si>
  <si>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</si>
  <si>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</si>
  <si>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</si>
  <si>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</si>
  <si>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</si>
  <si>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</si>
  <si>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</si>
  <si>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</si>
  <si>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</si>
  <si>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</si>
  <si>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</si>
  <si>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</si>
  <si>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</si>
  <si>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</si>
  <si>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</si>
  <si>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</si>
  <si>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</si>
  <si>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</si>
  <si>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</si>
  <si>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</si>
  <si>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</si>
  <si>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</si>
  <si>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</si>
  <si>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</si>
  <si>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</si>
  <si>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</si>
  <si>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</si>
  <si>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</si>
  <si>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</si>
  <si>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</si>
  <si>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</si>
  <si>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</si>
  <si>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</si>
  <si>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</si>
  <si>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</si>
  <si>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</si>
  <si>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</si>
  <si>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</si>
  <si>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</si>
  <si>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</si>
  <si>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</si>
  <si>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</si>
  <si>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</si>
  <si>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</si>
  <si>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</si>
  <si>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</si>
  <si>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</si>
  <si>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</si>
  <si>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</si>
  <si>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</si>
  <si>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</si>
  <si>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</si>
  <si>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</si>
  <si>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</si>
  <si>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</si>
  <si>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</si>
  <si>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</si>
  <si>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</si>
  <si>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</si>
  <si>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</si>
  <si>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</si>
  <si>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</si>
  <si>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</si>
  <si>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</si>
  <si>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</si>
  <si>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</si>
  <si>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</si>
  <si>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</si>
  <si>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</si>
  <si>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</si>
  <si>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</si>
  <si>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</si>
  <si>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</si>
  <si>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</si>
  <si>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</si>
  <si>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</si>
  <si>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</si>
  <si>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</si>
  <si>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</si>
  <si>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</si>
  <si>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</si>
  <si>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</si>
  <si>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</si>
  <si>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</si>
  <si>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</si>
  <si>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</si>
  <si>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</si>
  <si>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</si>
  <si>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</si>
  <si>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</si>
  <si>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</si>
  <si>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</si>
  <si>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</si>
  <si>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</si>
  <si>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</si>
  <si>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</si>
  <si>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</si>
  <si>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</si>
  <si>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</si>
  <si>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</si>
  <si>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</si>
  <si>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</si>
  <si>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</si>
  <si>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</si>
  <si>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</si>
  <si>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</si>
  <si>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</si>
  <si>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</si>
  <si>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</si>
  <si>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</si>
  <si>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</si>
  <si>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</si>
  <si>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</si>
  <si>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</si>
  <si>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</si>
  <si>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</si>
  <si>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</si>
  <si>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</si>
  <si>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</si>
  <si>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</si>
  <si>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</si>
  <si>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</si>
  <si>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</si>
  <si>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</si>
  <si>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</si>
  <si>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</si>
  <si>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</si>
  <si>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</si>
  <si>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</si>
  <si>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</si>
  <si>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</si>
  <si>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</si>
  <si>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</si>
  <si>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</si>
  <si>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</si>
  <si>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</si>
  <si>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</si>
  <si>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</si>
  <si>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</si>
  <si>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</si>
  <si>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</si>
  <si>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</si>
  <si>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</si>
  <si>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</si>
  <si>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</si>
  <si>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</si>
  <si>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</si>
  <si>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</si>
  <si>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</si>
  <si>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</si>
  <si>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</si>
  <si>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</si>
  <si>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</si>
  <si>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</si>
  <si>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</si>
  <si>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</si>
  <si>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</si>
  <si>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</si>
  <si>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</si>
  <si>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</si>
  <si>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</si>
  <si>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</si>
  <si>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</si>
  <si>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</si>
  <si>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</si>
  <si>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</si>
  <si>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</si>
  <si>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</si>
  <si>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</si>
  <si>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</si>
  <si>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</si>
  <si>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</si>
  <si>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</si>
  <si>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</si>
  <si>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</si>
  <si>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</si>
  <si>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</si>
  <si>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</si>
  <si>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</si>
  <si>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</si>
  <si>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</si>
  <si>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</si>
  <si>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</si>
  <si>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</si>
  <si>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</si>
  <si>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</si>
  <si>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</si>
  <si>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</si>
  <si>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</si>
  <si>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</si>
  <si>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</si>
  <si>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</si>
  <si>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</si>
  <si>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</si>
  <si>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</si>
  <si>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</si>
  <si>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</si>
  <si>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</si>
  <si>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</si>
  <si>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</si>
  <si>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</si>
  <si>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</si>
  <si>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</si>
  <si>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</si>
  <si>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</si>
  <si>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</si>
  <si>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</si>
  <si>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</si>
  <si>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</si>
  <si>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</si>
  <si>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</si>
  <si>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</si>
  <si>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</si>
  <si>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</si>
  <si>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</si>
  <si>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</si>
  <si>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</si>
  <si>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</si>
  <si>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</si>
  <si>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</si>
  <si>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</si>
  <si>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</si>
  <si>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</si>
  <si>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</si>
  <si>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</si>
  <si>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</si>
  <si>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</si>
  <si>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</si>
  <si>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</si>
  <si>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</si>
  <si>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</si>
  <si>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</si>
  <si>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</si>
  <si>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</si>
  <si>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</si>
  <si>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</si>
  <si>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</si>
  <si>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</si>
  <si>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</si>
  <si>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</si>
  <si>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</si>
  <si>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</si>
  <si>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</si>
  <si>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</si>
  <si>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</si>
  <si>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</si>
  <si>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</si>
  <si>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</si>
  <si>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</si>
  <si>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</si>
  <si>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</si>
  <si>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</si>
  <si>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</si>
  <si>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</si>
  <si>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</si>
  <si>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</si>
  <si>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</si>
  <si>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</si>
  <si>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</si>
  <si>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</si>
  <si>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</si>
  <si>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</si>
  <si>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</si>
  <si>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</si>
  <si>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</si>
  <si>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</si>
  <si>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</si>
  <si>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</si>
  <si>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</si>
  <si>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</si>
  <si>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</si>
  <si>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</si>
  <si>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</si>
  <si>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</si>
  <si>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</si>
  <si>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</si>
  <si>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</si>
  <si>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</si>
  <si>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</si>
  <si>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</si>
  <si>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</si>
  <si>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</si>
  <si>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</si>
  <si>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</si>
  <si>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</si>
  <si>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</si>
  <si>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</si>
  <si>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</si>
  <si>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</si>
  <si>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</si>
  <si>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</si>
  <si>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</si>
  <si>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</si>
  <si>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</si>
  <si>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</si>
  <si>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</si>
  <si>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</si>
  <si>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</si>
  <si>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</si>
  <si>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</si>
  <si>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</si>
  <si>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</si>
  <si>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</si>
  <si>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</si>
  <si>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</si>
  <si>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</si>
  <si>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</si>
  <si>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</si>
  <si>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</si>
  <si>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</si>
  <si>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</si>
  <si>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</si>
  <si>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</si>
  <si>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</si>
  <si>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</si>
  <si>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</si>
  <si>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</si>
  <si>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</si>
  <si>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</si>
  <si>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</si>
  <si>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</si>
  <si>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</si>
  <si>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</si>
  <si>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</si>
  <si>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</si>
  <si>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</si>
  <si>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</si>
  <si>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</si>
  <si>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</si>
  <si>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</si>
  <si>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</si>
  <si>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</si>
  <si>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</si>
  <si>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</si>
  <si>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</si>
  <si>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</si>
  <si>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</si>
  <si>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</si>
  <si>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</si>
  <si>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</si>
  <si>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</si>
  <si>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</si>
  <si>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</si>
  <si>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</si>
  <si>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</si>
  <si>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</si>
  <si>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</si>
  <si>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</si>
  <si>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</si>
  <si>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</si>
  <si>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</si>
  <si>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</si>
  <si>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</si>
  <si>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</si>
  <si>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</si>
  <si>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</si>
  <si>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</si>
  <si>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</si>
  <si>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</si>
  <si>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</si>
  <si>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</si>
  <si>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</si>
  <si>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</si>
  <si>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</si>
  <si>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</si>
  <si>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</si>
  <si>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</si>
  <si>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</si>
  <si>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</si>
  <si>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</si>
  <si>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</si>
  <si>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</si>
  <si>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</si>
  <si>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</si>
  <si>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</si>
  <si>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</si>
  <si>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</si>
  <si>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</si>
  <si>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</si>
  <si>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</si>
  <si>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</si>
  <si>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</si>
  <si>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</si>
  <si>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</si>
  <si>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</si>
  <si>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</si>
  <si>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</si>
  <si>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</si>
  <si>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</si>
  <si>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</si>
  <si>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</si>
  <si>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</si>
  <si>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</si>
  <si>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</si>
  <si>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</si>
  <si>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</si>
  <si>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</si>
  <si>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</si>
  <si>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</si>
  <si>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</si>
  <si>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</si>
  <si>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</si>
  <si>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</si>
  <si>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</si>
  <si>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</si>
  <si>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</si>
  <si>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</si>
  <si>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</si>
  <si>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</si>
  <si>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</si>
  <si>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</si>
  <si>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</si>
  <si>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</si>
  <si>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</si>
  <si>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</si>
  <si>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</si>
  <si>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</si>
  <si>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</si>
  <si>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</si>
  <si>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</si>
  <si>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</si>
  <si>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</si>
  <si>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</si>
  <si>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</si>
  <si>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</si>
  <si>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</si>
  <si>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</si>
  <si>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</si>
  <si>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</si>
  <si>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</si>
  <si>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</si>
  <si>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</si>
  <si>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</si>
  <si>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</si>
  <si>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</si>
  <si>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</si>
  <si>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</si>
  <si>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</si>
  <si>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</si>
  <si>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</si>
  <si>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</si>
  <si>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</si>
  <si>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</si>
  <si>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</si>
  <si>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</si>
  <si>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</si>
  <si>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</si>
  <si>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</si>
  <si>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</si>
  <si>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</si>
  <si>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</si>
  <si>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</si>
  <si>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</si>
  <si>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</si>
  <si>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</si>
  <si>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</si>
  <si>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</si>
  <si>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</si>
  <si>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</si>
  <si>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</si>
  <si>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</si>
  <si>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</si>
  <si>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</si>
  <si>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</si>
  <si>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</si>
  <si>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</si>
  <si>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</si>
  <si>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</si>
  <si>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</si>
  <si>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</si>
  <si>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</si>
  <si>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</si>
  <si>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</si>
  <si>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</si>
  <si>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</si>
  <si>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</si>
  <si>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</si>
  <si>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</si>
  <si>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</si>
  <si>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</si>
  <si>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</si>
  <si>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</si>
  <si>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</si>
  <si>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</si>
  <si>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</si>
  <si>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</si>
  <si>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</si>
  <si>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</si>
  <si>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</si>
  <si>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</si>
  <si>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</si>
  <si>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</si>
  <si>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</si>
  <si>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</si>
  <si>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</si>
  <si>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</si>
  <si>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</si>
  <si>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</si>
  <si>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</si>
  <si>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</si>
  <si>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</si>
  <si>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</si>
  <si>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</si>
  <si>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</si>
  <si>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</si>
  <si>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</si>
  <si>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</si>
  <si>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</si>
  <si>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</si>
  <si>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</si>
  <si>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</si>
  <si>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</si>
  <si>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</si>
  <si>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</si>
  <si>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</si>
  <si>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</si>
  <si>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</si>
  <si>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</si>
  <si>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</si>
  <si>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</si>
  <si>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</si>
  <si>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</si>
  <si>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</si>
  <si>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</si>
  <si>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</si>
  <si>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</si>
  <si>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</si>
  <si>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</si>
  <si>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</si>
  <si>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</si>
  <si>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</si>
  <si>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</si>
  <si>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</si>
  <si>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</si>
  <si>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</si>
  <si>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</si>
  <si>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</si>
  <si>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</si>
  <si>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</si>
  <si>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</si>
  <si>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</si>
  <si>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</si>
  <si>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</si>
  <si>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</si>
  <si>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</si>
  <si>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</si>
  <si>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</si>
  <si>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</si>
  <si>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</si>
  <si>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</si>
  <si>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</si>
  <si>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</si>
  <si>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</si>
  <si>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</si>
  <si>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</si>
  <si>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</si>
  <si>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</si>
  <si>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</si>
  <si>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</si>
  <si>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</si>
  <si>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</si>
  <si>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</si>
  <si>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</si>
  <si>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</si>
  <si>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</si>
  <si>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</si>
  <si>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</si>
  <si>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</si>
  <si>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</si>
  <si>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</si>
  <si>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</si>
  <si>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</si>
  <si>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</si>
  <si>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</si>
  <si>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</si>
  <si>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</si>
  <si>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</si>
  <si>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</si>
  <si>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</si>
  <si>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</si>
  <si>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</si>
  <si>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</si>
  <si>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</si>
  <si>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</si>
  <si>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</si>
  <si>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</si>
  <si>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</si>
  <si>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</si>
  <si>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</si>
  <si>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</si>
  <si>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</si>
  <si>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</si>
  <si>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</si>
  <si>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</si>
  <si>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</si>
  <si>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</si>
  <si>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</si>
  <si>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</si>
  <si>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</si>
  <si>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</si>
  <si>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</si>
  <si>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</si>
  <si>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</si>
  <si>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</si>
  <si>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</si>
  <si>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</si>
  <si>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</si>
  <si>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</si>
  <si>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</si>
  <si>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</si>
  <si>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</si>
  <si>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</si>
  <si>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</si>
  <si>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</si>
  <si>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</si>
  <si>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</si>
  <si>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</si>
  <si>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</si>
  <si>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</si>
  <si>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</si>
  <si>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</si>
  <si>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</si>
  <si>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</si>
  <si>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</si>
  <si>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</si>
  <si>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</si>
  <si>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</si>
  <si>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</si>
  <si>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</si>
  <si>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</si>
  <si>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</si>
  <si>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</si>
  <si>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</si>
  <si>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</si>
  <si>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</si>
  <si>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</si>
  <si>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</si>
  <si>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</si>
  <si>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</si>
  <si>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</si>
  <si>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</si>
  <si>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</si>
  <si>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</si>
  <si>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</si>
  <si>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</si>
  <si>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</si>
  <si>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</si>
  <si>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</si>
  <si>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</si>
  <si>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</si>
  <si>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</si>
  <si>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</si>
  <si>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</si>
  <si>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</si>
  <si>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</si>
  <si>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</si>
  <si>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</si>
  <si>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</si>
  <si>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</si>
  <si>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</si>
  <si>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</si>
  <si>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</si>
  <si>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</si>
  <si>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</si>
  <si>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</si>
  <si>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</si>
  <si>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</si>
  <si>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</si>
  <si>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</si>
  <si>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</si>
  <si>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</si>
  <si>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</si>
  <si>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</si>
  <si>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</si>
  <si>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</si>
  <si>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</si>
  <si>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</si>
  <si>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</si>
  <si>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</si>
  <si>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</si>
  <si>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</si>
  <si>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</si>
  <si>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</si>
  <si>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</si>
  <si>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</si>
  <si>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</si>
  <si>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</si>
  <si>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</si>
  <si>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</si>
  <si>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</si>
  <si>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</si>
  <si>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</si>
  <si>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</si>
  <si>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</si>
  <si>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</si>
  <si>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</si>
  <si>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</si>
  <si>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</si>
  <si>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</si>
  <si>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</si>
  <si>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</si>
  <si>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</si>
  <si>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</si>
  <si>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</si>
  <si>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</si>
  <si>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</si>
  <si>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</si>
  <si>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</si>
  <si>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</si>
  <si>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</si>
  <si>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</si>
  <si>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</si>
  <si>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</si>
  <si>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</si>
  <si>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</si>
  <si>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</si>
  <si>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</si>
  <si>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</si>
  <si>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</si>
  <si>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</si>
  <si>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</si>
  <si>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</si>
  <si>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</si>
  <si>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</si>
  <si>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</si>
  <si>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</si>
  <si>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</si>
  <si>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</si>
  <si>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</si>
  <si>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</si>
  <si>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</si>
  <si>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</si>
  <si>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</si>
  <si>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</si>
  <si>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</si>
  <si>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</si>
  <si>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</si>
  <si>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</si>
  <si>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</si>
  <si>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</si>
  <si>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</si>
  <si>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</si>
  <si>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</si>
  <si>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</si>
  <si>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</si>
  <si>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</si>
  <si>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</si>
  <si>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</si>
  <si>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</si>
  <si>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</si>
  <si>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</si>
  <si>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</si>
  <si>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</si>
  <si>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</si>
  <si>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</si>
  <si>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</si>
  <si>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</si>
  <si>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</si>
  <si>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</si>
  <si>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</si>
  <si>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</si>
  <si>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</si>
  <si>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</si>
  <si>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</si>
  <si>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</si>
  <si>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</si>
  <si>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</si>
  <si>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</si>
  <si>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</si>
  <si>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</si>
  <si>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</si>
  <si>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</si>
  <si>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</si>
  <si>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</si>
  <si>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</si>
  <si>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</si>
  <si>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</si>
  <si>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</si>
  <si>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</si>
  <si>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</si>
  <si>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</si>
  <si>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</si>
  <si>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</si>
  <si>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</si>
  <si>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</si>
  <si>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</si>
  <si>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</si>
  <si>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</si>
  <si>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</si>
  <si>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</si>
  <si>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</si>
  <si>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</si>
  <si>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</si>
  <si>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</si>
  <si>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</si>
  <si>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</si>
  <si>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</si>
  <si>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</si>
  <si>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</si>
  <si>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</si>
  <si>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</si>
  <si>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</si>
  <si>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</si>
  <si>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</si>
  <si>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</si>
  <si>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</si>
  <si>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</si>
  <si>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</si>
  <si>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</si>
  <si>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</si>
  <si>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</si>
  <si>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</si>
  <si>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</si>
  <si>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</si>
  <si>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</si>
  <si>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</si>
  <si>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</si>
  <si>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</si>
  <si>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</si>
  <si>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</si>
  <si>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</si>
  <si>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</si>
  <si>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</si>
  <si>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</si>
  <si>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</si>
  <si>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</si>
  <si>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</si>
  <si>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</si>
  <si>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</si>
  <si>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</si>
  <si>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</si>
  <si>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</si>
  <si>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</si>
  <si>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</si>
  <si>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</si>
  <si>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</si>
  <si>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</si>
  <si>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</si>
  <si>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</si>
  <si>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</si>
  <si>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</si>
  <si>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</si>
  <si>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</si>
  <si>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</si>
  <si>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</si>
  <si>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</si>
  <si>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</si>
  <si>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</si>
  <si>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</si>
  <si>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</si>
  <si>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</si>
  <si>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</si>
  <si>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</si>
  <si>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</si>
  <si>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</si>
  <si>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</si>
  <si>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</si>
  <si>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</si>
  <si>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</si>
  <si>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</si>
  <si>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</si>
  <si>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</si>
  <si>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</si>
  <si>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</si>
  <si>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</si>
  <si>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</si>
  <si>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</si>
  <si>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</si>
  <si>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</si>
  <si>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</si>
  <si>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</si>
  <si>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</si>
  <si>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</si>
  <si>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</si>
  <si>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</si>
  <si>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</si>
  <si>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</si>
  <si>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</si>
  <si>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</si>
  <si>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</si>
  <si>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</si>
  <si>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</si>
  <si>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</si>
  <si>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</si>
  <si>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</si>
  <si>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</si>
  <si>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</si>
  <si>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</si>
  <si>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</si>
  <si>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</si>
  <si>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</si>
  <si>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</si>
  <si>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</si>
  <si>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</si>
  <si>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</si>
  <si>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</si>
  <si>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</si>
  <si>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</si>
  <si>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</si>
  <si>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</si>
  <si>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</si>
  <si>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</si>
  <si>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</si>
  <si>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</si>
  <si>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</si>
  <si>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</si>
  <si>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</si>
  <si>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</si>
  <si>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</si>
  <si>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</si>
  <si>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</si>
  <si>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</si>
  <si>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</si>
  <si>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</si>
  <si>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</si>
  <si>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</si>
  <si>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</si>
  <si>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</si>
  <si>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</si>
  <si>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</si>
  <si>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</si>
  <si>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</si>
  <si>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</si>
  <si>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</si>
  <si>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</si>
  <si>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</si>
  <si>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</si>
  <si>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</si>
  <si>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</si>
  <si>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</si>
  <si>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</si>
  <si>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</si>
  <si>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</si>
  <si>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</si>
  <si>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</si>
  <si>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</si>
  <si>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</si>
  <si>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</si>
  <si>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</si>
  <si>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</si>
  <si>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</si>
  <si>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</si>
  <si>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</si>
  <si>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</si>
  <si>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</si>
  <si>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</si>
  <si>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</si>
  <si>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</si>
  <si>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</si>
  <si>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</si>
  <si>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</si>
  <si>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</si>
  <si>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</si>
  <si>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</si>
  <si>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</si>
  <si>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</si>
  <si>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</si>
  <si>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</si>
  <si>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</si>
  <si>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</si>
  <si>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</si>
  <si>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</si>
  <si>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</si>
  <si>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</si>
  <si>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</si>
  <si>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</si>
  <si>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</si>
  <si>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</si>
  <si>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</si>
  <si>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</si>
  <si>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</si>
  <si>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</si>
  <si>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</si>
  <si>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</si>
  <si>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</si>
  <si>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</si>
  <si>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</si>
  <si>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</si>
  <si>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</si>
  <si>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</si>
  <si>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</si>
  <si>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</si>
  <si>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</si>
  <si>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</si>
  <si>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</si>
  <si>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</si>
  <si>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</si>
  <si>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</si>
  <si>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</si>
  <si>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</si>
  <si>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</si>
  <si>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</si>
  <si>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</si>
  <si>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</si>
  <si>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</si>
  <si>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</si>
  <si>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</si>
  <si>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</si>
  <si>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</si>
  <si>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</si>
  <si>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</si>
  <si>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</si>
  <si>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</si>
  <si>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</si>
  <si>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</si>
  <si>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</si>
  <si>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</si>
  <si>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</si>
  <si>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</si>
  <si>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</si>
  <si>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</si>
  <si>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</si>
  <si>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</si>
  <si>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</si>
  <si>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</si>
  <si>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</si>
  <si>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</si>
  <si>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</si>
  <si>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</si>
  <si>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</si>
  <si>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</si>
  <si>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</si>
  <si>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</si>
  <si>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</si>
  <si>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</si>
  <si>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</si>
  <si>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</si>
  <si>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</si>
  <si>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</si>
  <si>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</si>
  <si>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</si>
  <si>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</si>
  <si>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</si>
  <si>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</si>
  <si>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</si>
  <si>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</si>
  <si>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</si>
  <si>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</si>
  <si>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</si>
  <si>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</si>
  <si>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</si>
  <si>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</si>
  <si>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</si>
  <si>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</si>
  <si>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</si>
  <si>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</si>
  <si>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</si>
  <si>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</si>
  <si>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</si>
  <si>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</si>
  <si>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</si>
  <si>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</si>
  <si>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</si>
  <si>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</si>
  <si>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</si>
  <si>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</si>
  <si>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</si>
  <si>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</si>
  <si>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</si>
  <si>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</si>
  <si>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</si>
  <si>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</si>
  <si>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</si>
  <si>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</si>
  <si>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</si>
  <si>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</si>
  <si>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</si>
  <si>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</si>
  <si>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</si>
  <si>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</si>
  <si>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</si>
  <si>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</si>
  <si>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</si>
  <si>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</si>
  <si>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</si>
  <si>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</si>
  <si>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</si>
  <si>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</si>
  <si>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</si>
  <si>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</si>
  <si>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</si>
  <si>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</si>
  <si>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</si>
  <si>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</si>
  <si>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</si>
  <si>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</si>
  <si>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</si>
  <si>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</si>
  <si>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</si>
  <si>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</si>
  <si>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</si>
  <si>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</si>
  <si>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</si>
  <si>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</si>
  <si>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</si>
  <si>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</si>
  <si>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</si>
  <si>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</si>
  <si>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</si>
  <si>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</si>
  <si>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</si>
  <si>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</si>
  <si>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</si>
  <si>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</si>
  <si>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</si>
  <si>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</si>
  <si>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</si>
  <si>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</si>
  <si>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</si>
  <si>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</si>
  <si>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</si>
  <si>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</si>
  <si>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</si>
  <si>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</si>
  <si>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</si>
  <si>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</si>
  <si>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</si>
  <si>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</si>
  <si>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</si>
  <si>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</si>
  <si>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</si>
  <si>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</si>
  <si>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</si>
  <si>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</si>
  <si>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</si>
  <si>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</si>
  <si>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</si>
  <si>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</si>
  <si>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</si>
  <si>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</si>
  <si>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</si>
  <si>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</si>
  <si>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</si>
  <si>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</si>
  <si>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</si>
  <si>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</si>
  <si>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</si>
  <si>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</si>
  <si>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</si>
  <si>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</si>
  <si>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</si>
  <si>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</si>
  <si>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</si>
  <si>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</si>
  <si>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</si>
  <si>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</si>
  <si>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</si>
  <si>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</si>
  <si>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</si>
  <si>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</si>
  <si>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</si>
  <si>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</si>
  <si>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</si>
  <si>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</si>
  <si>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</si>
  <si>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</si>
  <si>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</si>
  <si>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</si>
  <si>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</si>
  <si>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</si>
  <si>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</si>
  <si>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</si>
  <si>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</si>
  <si>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</si>
  <si>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</si>
  <si>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</si>
  <si>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</si>
  <si>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</si>
  <si>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</si>
  <si>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</si>
  <si>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</si>
  <si>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</si>
  <si>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</si>
  <si>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</si>
  <si>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</si>
  <si>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</si>
  <si>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</si>
  <si>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</si>
  <si>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</si>
  <si>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</si>
  <si>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</si>
  <si>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</si>
  <si>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</si>
  <si>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</si>
  <si>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</si>
  <si>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</si>
  <si>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</si>
  <si>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</si>
  <si>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</si>
  <si>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</si>
  <si>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</si>
  <si>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</si>
  <si>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</si>
  <si>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</si>
  <si>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</si>
  <si>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</si>
  <si>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</si>
  <si>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</si>
  <si>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</si>
  <si>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</si>
  <si>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</si>
  <si>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</si>
  <si>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</si>
  <si>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</si>
  <si>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</si>
  <si>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</si>
  <si>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</si>
  <si>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</si>
  <si>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</si>
  <si>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</si>
  <si>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</si>
  <si>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</si>
  <si>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</si>
  <si>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</si>
  <si>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</si>
  <si>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</si>
  <si>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</si>
  <si>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</si>
  <si>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</si>
  <si>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</si>
  <si>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</si>
  <si>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</si>
  <si>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</si>
  <si>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</si>
  <si>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</si>
  <si>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</si>
  <si>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</si>
  <si>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</si>
  <si>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</si>
  <si>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</si>
  <si>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</si>
  <si>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</si>
  <si>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</si>
  <si>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</si>
  <si>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</si>
  <si>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</si>
  <si>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</si>
  <si>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</si>
  <si>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</si>
  <si>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</si>
  <si>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</si>
  <si>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</si>
  <si>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</si>
  <si>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</si>
  <si>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</si>
  <si>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</si>
  <si>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</si>
  <si>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</si>
  <si>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</si>
  <si>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</si>
  <si>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</si>
  <si>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</si>
  <si>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</si>
  <si>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</si>
  <si>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</si>
  <si>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</si>
  <si>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</si>
  <si>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</si>
  <si>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</si>
  <si>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</si>
  <si>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</si>
  <si>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</si>
  <si>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</si>
  <si>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</si>
  <si>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</si>
  <si>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</si>
  <si>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</si>
  <si>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</si>
  <si>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</si>
  <si>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</si>
  <si>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</si>
  <si>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</si>
  <si>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</si>
  <si>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</si>
  <si>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</si>
  <si>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</si>
  <si>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</si>
  <si>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</si>
  <si>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</si>
  <si>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</si>
  <si>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</si>
  <si>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</si>
  <si>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</si>
  <si>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</si>
  <si>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</si>
  <si>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</si>
  <si>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</si>
  <si>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</si>
  <si>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</si>
  <si>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</si>
  <si>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</si>
  <si>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</si>
  <si>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</si>
  <si>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</si>
  <si>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</si>
  <si>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</si>
  <si>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</si>
  <si>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</si>
  <si>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</si>
  <si>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</si>
  <si>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</si>
  <si>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</si>
  <si>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</si>
  <si>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</si>
  <si>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</si>
  <si>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</si>
  <si>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</si>
  <si>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</si>
  <si>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</si>
  <si>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</si>
  <si>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</si>
  <si>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</si>
  <si>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</si>
  <si>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</si>
  <si>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</si>
  <si>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</si>
  <si>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</si>
  <si>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</si>
  <si>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</si>
  <si>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</si>
  <si>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</si>
  <si>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</si>
  <si>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</si>
  <si>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</si>
  <si>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</si>
  <si>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</si>
  <si>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</si>
  <si>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</si>
  <si>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</si>
  <si>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</si>
  <si>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</si>
  <si>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</si>
  <si>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</si>
  <si>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</si>
  <si>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</si>
  <si>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</si>
  <si>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</si>
  <si>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</si>
  <si>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</si>
  <si>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</si>
  <si>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</si>
  <si>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</si>
  <si>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</si>
  <si>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</si>
  <si>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</si>
  <si>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</si>
  <si>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</si>
  <si>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</si>
  <si>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</si>
  <si>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</si>
  <si>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</si>
  <si>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</si>
  <si>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</si>
  <si>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</si>
  <si>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</si>
  <si>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</si>
  <si>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</si>
  <si>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</si>
  <si>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</si>
  <si>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</si>
  <si>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</si>
  <si>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</si>
  <si>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</si>
  <si>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</si>
  <si>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</si>
  <si>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</si>
  <si>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</si>
  <si>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</si>
  <si>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</si>
  <si>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</si>
  <si>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</si>
  <si>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</si>
  <si>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</si>
  <si>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</si>
  <si>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</si>
  <si>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</si>
  <si>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</si>
  <si>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</si>
  <si>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</si>
  <si>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</si>
  <si>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</si>
  <si>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</si>
  <si>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</si>
  <si>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</si>
  <si>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</si>
  <si>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</si>
  <si>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</si>
  <si>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</si>
  <si>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</si>
  <si>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</si>
  <si>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</si>
  <si>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</si>
  <si>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</si>
  <si>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</si>
  <si>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</si>
  <si>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</si>
  <si>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</si>
  <si>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</si>
  <si>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</si>
  <si>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</si>
  <si>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</si>
  <si>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</si>
  <si>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</si>
  <si>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</si>
  <si>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</si>
  <si>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</si>
  <si>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</si>
  <si>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</si>
  <si>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</si>
  <si>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</si>
  <si>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</si>
  <si>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</si>
  <si>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</si>
  <si>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</si>
  <si>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</si>
  <si>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</si>
  <si>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</si>
  <si>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</si>
  <si>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</si>
  <si>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</si>
  <si>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</si>
  <si>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</si>
  <si>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</si>
  <si>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</si>
  <si>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</si>
  <si>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</si>
  <si>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</si>
  <si>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</si>
  <si>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</si>
  <si>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</si>
  <si>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</si>
  <si>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</si>
  <si>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</si>
  <si>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</si>
  <si>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</si>
  <si>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</si>
  <si>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</si>
  <si>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</si>
  <si>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</si>
  <si>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</si>
  <si>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</si>
  <si>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</si>
  <si>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</si>
  <si>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</si>
  <si>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</si>
  <si>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</si>
  <si>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</si>
  <si>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</si>
  <si>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</si>
  <si>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</si>
  <si>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</si>
  <si>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</si>
  <si>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</si>
  <si>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</si>
  <si>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</si>
  <si>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</si>
  <si>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</si>
  <si>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</si>
  <si>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</si>
  <si>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</si>
  <si>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</si>
  <si>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</si>
  <si>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</si>
  <si>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</si>
  <si>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</si>
  <si>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</si>
  <si>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</si>
  <si>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</si>
  <si>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</si>
  <si>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</si>
  <si>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</si>
  <si>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</si>
  <si>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</si>
  <si>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</si>
  <si>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</si>
  <si>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</si>
  <si>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</si>
  <si>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</si>
  <si>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</si>
  <si>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</si>
  <si>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</si>
  <si>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</si>
  <si>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</si>
  <si>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</si>
  <si>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</si>
  <si>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</si>
  <si>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</si>
  <si>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</si>
  <si>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</si>
  <si>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</si>
  <si>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</si>
  <si>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</si>
  <si>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</si>
  <si>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</si>
  <si>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</si>
  <si>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</si>
  <si>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</si>
  <si>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</si>
  <si>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</si>
  <si>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</si>
  <si>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</si>
  <si>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</si>
  <si>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</si>
  <si>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</si>
  <si>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</si>
  <si>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</si>
  <si>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</si>
  <si>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</si>
  <si>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</si>
  <si>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</si>
  <si>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</si>
  <si>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</si>
  <si>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</si>
  <si>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</si>
  <si>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</si>
  <si>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</si>
  <si>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</si>
  <si>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</si>
  <si>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</si>
  <si>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</si>
  <si>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</si>
  <si>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</si>
  <si>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</si>
  <si>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</si>
  <si>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</si>
  <si>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</si>
  <si>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</si>
  <si>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</si>
  <si>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</si>
  <si>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</si>
  <si>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</si>
  <si>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</si>
  <si>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</si>
  <si>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</si>
  <si>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</si>
  <si>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</si>
  <si>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</si>
  <si>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</si>
  <si>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</si>
  <si>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</si>
  <si>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</si>
  <si>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</si>
  <si>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</si>
  <si>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</si>
  <si>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</si>
  <si>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</si>
  <si>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</si>
  <si>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</si>
  <si>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</si>
  <si>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</si>
  <si>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</si>
  <si>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</si>
  <si>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</si>
  <si>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</si>
  <si>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</si>
  <si>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</si>
  <si>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</si>
  <si>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</si>
  <si>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</si>
  <si>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</si>
  <si>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</si>
  <si>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</si>
  <si>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</si>
  <si>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</si>
  <si>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</si>
  <si>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</si>
  <si>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</si>
  <si>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</si>
  <si>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</si>
  <si>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</si>
  <si>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</si>
  <si>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</si>
  <si>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</si>
  <si>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</si>
  <si>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</si>
  <si>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</si>
  <si>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</si>
  <si>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</si>
  <si>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</si>
  <si>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</si>
  <si>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</si>
  <si>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</si>
  <si>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</si>
  <si>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</si>
  <si>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</si>
  <si>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</si>
  <si>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</si>
  <si>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</si>
  <si>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</si>
  <si>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</si>
  <si>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</si>
  <si>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</si>
  <si>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</si>
  <si>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</si>
  <si>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</si>
  <si>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</si>
  <si>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</si>
  <si>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</si>
  <si>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</si>
  <si>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</si>
  <si>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</si>
  <si>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</si>
  <si>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</si>
  <si>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</si>
  <si>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</si>
  <si>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</si>
  <si>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</si>
  <si>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</si>
  <si>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</si>
  <si>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</si>
  <si>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</si>
  <si>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</si>
  <si>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</si>
  <si>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</si>
  <si>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</si>
  <si>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</si>
  <si>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</si>
  <si>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</si>
  <si>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</si>
  <si>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</si>
  <si>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</si>
  <si>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</si>
  <si>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</si>
  <si>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</si>
  <si>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</si>
  <si>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</si>
  <si>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</si>
  <si>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</si>
  <si>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</si>
  <si>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</si>
  <si>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</si>
  <si>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</si>
  <si>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</si>
  <si>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</si>
  <si>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</si>
  <si>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</si>
  <si>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</si>
  <si>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</si>
  <si>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</si>
  <si>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</si>
  <si>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</si>
  <si>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</si>
  <si>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</si>
  <si>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</si>
  <si>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</si>
  <si>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</si>
  <si>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</si>
  <si>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</si>
  <si>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</si>
  <si>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</si>
  <si>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</si>
  <si>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</si>
  <si>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</si>
  <si>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</si>
  <si>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</si>
  <si>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</si>
  <si>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</si>
  <si>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</si>
  <si>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</si>
  <si>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</si>
  <si>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</si>
  <si>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</si>
  <si>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</si>
  <si>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</si>
  <si>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</si>
  <si>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</si>
  <si>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</si>
  <si>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</si>
  <si>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</si>
  <si>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</si>
  <si>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</si>
  <si>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</si>
  <si>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</si>
  <si>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</si>
  <si>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</si>
  <si>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</si>
  <si>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</si>
  <si>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</si>
  <si>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</si>
  <si>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</si>
  <si>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</si>
  <si>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</si>
  <si>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</si>
  <si>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</si>
  <si>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</si>
  <si>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</si>
  <si>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</si>
  <si>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</si>
  <si>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</si>
  <si>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</si>
  <si>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</si>
  <si>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</si>
  <si>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</si>
  <si>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</si>
  <si>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</si>
  <si>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</si>
  <si>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</si>
  <si>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</si>
  <si>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</si>
  <si>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</si>
  <si>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</si>
  <si>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</si>
  <si>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</si>
  <si>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</si>
  <si>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</si>
  <si>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</si>
  <si>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</si>
  <si>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</si>
  <si>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</si>
  <si>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</si>
  <si>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</si>
  <si>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</si>
  <si>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</si>
  <si>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</si>
  <si>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</si>
  <si>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</si>
  <si>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</si>
  <si>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</si>
  <si>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</si>
  <si>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</si>
  <si>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</si>
  <si>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</si>
  <si>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</si>
  <si>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</si>
  <si>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</si>
  <si>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</si>
  <si>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</si>
  <si>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</si>
  <si>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</si>
  <si>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</si>
  <si>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</si>
  <si>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</si>
  <si>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</si>
  <si>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</si>
  <si>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</si>
  <si>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</si>
  <si>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</si>
  <si>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</si>
  <si>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</si>
  <si>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</si>
  <si>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</si>
  <si>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</si>
  <si>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</si>
  <si>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</si>
  <si>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</si>
  <si>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</si>
  <si>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</si>
  <si>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</si>
  <si>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</si>
  <si>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</si>
  <si>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</si>
  <si>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</si>
  <si>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</si>
  <si>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</si>
  <si>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</si>
  <si>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</si>
  <si>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</si>
  <si>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</si>
  <si>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</si>
  <si>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</si>
  <si>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</si>
  <si>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</si>
  <si>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</si>
  <si>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</si>
  <si>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</si>
  <si>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</si>
  <si>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</si>
  <si>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</si>
  <si>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</si>
  <si>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</si>
  <si>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</si>
  <si>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</si>
  <si>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</si>
  <si>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</si>
  <si>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</si>
  <si>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</si>
  <si>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</si>
  <si>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</si>
  <si>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</si>
  <si>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</si>
  <si>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</si>
  <si>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</si>
  <si>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</si>
  <si>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</si>
  <si>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</si>
  <si>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</si>
  <si>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</si>
  <si>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</si>
  <si>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</si>
  <si>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</si>
  <si>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</si>
  <si>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</si>
  <si>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</si>
  <si>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</si>
  <si>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</si>
  <si>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</si>
  <si>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</si>
  <si>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</si>
  <si>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</si>
  <si>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</si>
  <si>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</si>
  <si>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</si>
  <si>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</si>
  <si>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</si>
  <si>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</si>
  <si>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</si>
  <si>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</si>
  <si>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</si>
  <si>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</si>
  <si>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</si>
  <si>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</si>
  <si>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</si>
  <si>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</si>
  <si>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</si>
  <si>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</si>
  <si>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</si>
  <si>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</si>
  <si>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</si>
  <si>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</si>
  <si>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</si>
  <si>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</si>
  <si>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</si>
  <si>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</si>
  <si>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</si>
  <si>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</si>
  <si>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</si>
  <si>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</si>
  <si>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</si>
  <si>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</si>
  <si>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</si>
  <si>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</si>
  <si>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</si>
  <si>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</si>
  <si>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</si>
  <si>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</si>
  <si>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</si>
  <si>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</si>
  <si>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</si>
  <si>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</si>
  <si>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</si>
  <si>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</si>
  <si>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</si>
  <si>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</si>
  <si>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</si>
  <si>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</si>
  <si>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</si>
  <si>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</si>
  <si>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</si>
  <si>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</si>
  <si>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</si>
  <si>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</si>
  <si>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</si>
  <si>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</si>
  <si>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</si>
  <si>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</si>
  <si>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</si>
  <si>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</si>
  <si>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</si>
  <si>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</si>
  <si>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</si>
  <si>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</si>
  <si>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</si>
  <si>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</si>
  <si>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</si>
  <si>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</si>
  <si>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</si>
  <si>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</si>
  <si>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</si>
  <si>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</si>
  <si>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</si>
  <si>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</si>
  <si>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</si>
  <si>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</si>
  <si>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</si>
  <si>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</si>
  <si>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</si>
  <si>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</si>
  <si>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</si>
  <si>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</si>
  <si>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</si>
  <si>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</si>
  <si>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</si>
  <si>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</si>
  <si>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</si>
  <si>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</si>
  <si>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</si>
  <si>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</si>
  <si>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</si>
  <si>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</si>
  <si>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</si>
  <si>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</si>
  <si>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</si>
  <si>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</si>
  <si>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</si>
  <si>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</si>
  <si>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</si>
  <si>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</si>
  <si>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</si>
  <si>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</si>
  <si>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</si>
  <si>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</si>
  <si>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</si>
  <si>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</si>
  <si>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</si>
  <si>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</si>
  <si>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</si>
  <si>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</si>
  <si>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</si>
  <si>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</si>
  <si>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</si>
  <si>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</si>
  <si>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</si>
  <si>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</si>
  <si>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</si>
  <si>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</si>
  <si>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</si>
  <si>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</si>
  <si>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</si>
  <si>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</si>
  <si>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</si>
  <si>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</si>
  <si>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</si>
  <si>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</si>
  <si>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</si>
  <si>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</si>
  <si>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</si>
  <si>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</si>
  <si>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</si>
  <si>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</si>
  <si>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</si>
  <si>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</si>
  <si>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</si>
  <si>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</si>
  <si>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</si>
  <si>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</si>
  <si>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</si>
  <si>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</si>
  <si>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</si>
  <si>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</si>
  <si>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</si>
  <si>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</si>
  <si>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</si>
  <si>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</si>
  <si>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</si>
  <si>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</si>
  <si>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</si>
  <si>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</si>
  <si>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</si>
  <si>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</si>
  <si>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</si>
  <si>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</si>
  <si>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</si>
  <si>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</si>
  <si>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</si>
  <si>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</si>
  <si>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</si>
  <si>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</si>
  <si>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</si>
  <si>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</si>
  <si>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</si>
  <si>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</si>
  <si>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</si>
  <si>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</si>
  <si>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</si>
  <si>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</si>
  <si>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</si>
  <si>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</si>
  <si>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</si>
  <si>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</si>
  <si>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</si>
  <si>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</si>
  <si>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</si>
  <si>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</si>
  <si>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</si>
  <si>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</si>
  <si>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</si>
  <si>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</si>
  <si>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</si>
  <si>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</si>
  <si>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</si>
  <si>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</si>
  <si>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</si>
  <si>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</si>
  <si>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</si>
  <si>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</si>
  <si>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</si>
  <si>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</si>
  <si>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</si>
  <si>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</si>
  <si>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</si>
  <si>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</si>
  <si>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</si>
  <si>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</si>
  <si>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</si>
  <si>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</si>
  <si>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</si>
  <si>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</si>
  <si>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</si>
  <si>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</si>
  <si>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</si>
  <si>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</si>
  <si>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</si>
  <si>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</si>
  <si>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</si>
  <si>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</si>
  <si>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</si>
  <si>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</si>
  <si>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</si>
  <si>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</si>
  <si>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</si>
  <si>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</si>
  <si>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</si>
  <si>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</si>
  <si>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</si>
  <si>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</si>
  <si>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</si>
  <si>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</si>
  <si>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</si>
  <si>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</si>
  <si>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</si>
  <si>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</si>
  <si>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</si>
  <si>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</si>
  <si>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</si>
  <si>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</si>
  <si>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</si>
  <si>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</si>
  <si>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</si>
  <si>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</si>
  <si>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</si>
  <si>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</si>
  <si>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</si>
  <si>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</si>
  <si>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</si>
  <si>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</si>
  <si>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</si>
  <si>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</si>
  <si>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</si>
  <si>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</si>
  <si>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</si>
  <si>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</si>
  <si>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</si>
  <si>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</si>
  <si>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</si>
  <si>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</si>
  <si>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</si>
  <si>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</si>
  <si>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</si>
  <si>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</si>
  <si>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</si>
  <si>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</si>
  <si>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</si>
  <si>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</si>
  <si>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</si>
  <si>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</si>
  <si>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</si>
  <si>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</si>
  <si>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</si>
  <si>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</si>
  <si>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</si>
  <si>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</si>
  <si>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</si>
  <si>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</si>
  <si>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</si>
  <si>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</si>
  <si>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</si>
  <si>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</si>
  <si>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</si>
  <si>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</si>
  <si>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</si>
  <si>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</si>
  <si>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</si>
  <si>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</si>
  <si>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</si>
  <si>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</si>
  <si>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</si>
  <si>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</si>
  <si>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</si>
  <si>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</si>
  <si>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</si>
  <si>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</si>
  <si>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</si>
  <si>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</si>
  <si>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</si>
  <si>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</si>
  <si>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</si>
  <si>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</si>
  <si>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</si>
  <si>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</si>
  <si>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</si>
  <si>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</si>
  <si>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</si>
  <si>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</si>
  <si>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</si>
  <si>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</si>
  <si>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</si>
  <si>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</si>
  <si>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</si>
  <si>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</si>
  <si>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</si>
  <si>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</si>
  <si>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</si>
  <si>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</si>
  <si>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</si>
  <si>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</si>
  <si>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</si>
  <si>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</si>
  <si>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</si>
  <si>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</si>
  <si>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</si>
  <si>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</si>
  <si>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</si>
  <si>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</si>
  <si>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</si>
  <si>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</si>
  <si>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</si>
  <si>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</si>
  <si>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</si>
  <si>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</si>
  <si>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</si>
  <si>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</si>
  <si>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</si>
  <si>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</si>
  <si>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</si>
  <si>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</si>
  <si>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</si>
  <si>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</si>
  <si>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</si>
  <si>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</si>
  <si>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</si>
  <si>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</si>
  <si>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</si>
  <si>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</si>
  <si>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</si>
  <si>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</si>
  <si>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</si>
  <si>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</si>
  <si>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</si>
  <si>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</si>
  <si>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</si>
  <si>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</si>
  <si>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</si>
  <si>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</si>
  <si>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</si>
  <si>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</si>
  <si>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</si>
  <si>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</si>
  <si>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</si>
  <si>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</si>
  <si>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</si>
  <si>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</si>
  <si>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</si>
  <si>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</si>
  <si>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</si>
  <si>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</si>
  <si>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</si>
  <si>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</si>
  <si>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</si>
  <si>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</si>
  <si>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</si>
  <si>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</si>
  <si>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</si>
  <si>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</si>
  <si>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</si>
  <si>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</si>
  <si>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</si>
  <si>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</si>
  <si>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</si>
  <si>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</si>
  <si>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</si>
  <si>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</si>
  <si>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</si>
  <si>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</si>
  <si>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</si>
  <si>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</si>
  <si>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</si>
  <si>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</si>
  <si>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</si>
  <si>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</si>
  <si>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</si>
  <si>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</si>
  <si>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</si>
  <si>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</si>
  <si>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</si>
  <si>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</si>
  <si>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</si>
  <si>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</si>
  <si>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</si>
  <si>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</si>
  <si>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</si>
  <si>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</si>
  <si>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</si>
  <si>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</si>
  <si>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</si>
  <si>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</si>
  <si>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</si>
  <si>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</si>
  <si>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</si>
  <si>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</si>
  <si>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</si>
  <si>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</si>
  <si>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</si>
  <si>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</si>
  <si>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</si>
  <si>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</si>
  <si>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</si>
  <si>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</si>
  <si>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</si>
  <si>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</si>
  <si>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</si>
  <si>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</si>
  <si>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</si>
  <si>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</si>
  <si>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</si>
  <si>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</si>
  <si>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</si>
  <si>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</si>
  <si>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</si>
  <si>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</si>
  <si>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</si>
  <si>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</si>
  <si>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</si>
  <si>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</si>
  <si>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</si>
  <si>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</si>
  <si>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</si>
  <si>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</si>
  <si>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</si>
  <si>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</si>
  <si>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</si>
  <si>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</si>
  <si>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</si>
  <si>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</si>
  <si>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</si>
  <si>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</si>
  <si>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</si>
  <si>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</si>
  <si>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</si>
  <si>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</si>
  <si>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</si>
  <si>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</si>
  <si>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</si>
  <si>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</si>
  <si>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</si>
  <si>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</si>
  <si>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</si>
  <si>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</si>
  <si>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</si>
  <si>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</si>
  <si>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</si>
  <si>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</si>
  <si>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</si>
  <si>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</si>
  <si>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</si>
  <si>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</si>
  <si>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</si>
  <si>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</si>
  <si>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</si>
  <si>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</si>
  <si>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</si>
  <si>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</si>
  <si>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</si>
  <si>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</si>
  <si>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</si>
  <si>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</si>
  <si>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</si>
  <si>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</si>
  <si>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</si>
  <si>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</si>
  <si>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</si>
  <si>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</si>
  <si>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</si>
  <si>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</si>
  <si>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</si>
  <si>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</si>
  <si>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</si>
  <si>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</si>
  <si>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</si>
  <si>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</si>
  <si>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</si>
  <si>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</si>
  <si>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</si>
  <si>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</si>
  <si>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</si>
  <si>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</si>
  <si>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</si>
  <si>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</si>
  <si>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</si>
  <si>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</si>
  <si>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</si>
  <si>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</si>
  <si>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</si>
  <si>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</si>
  <si>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</si>
  <si>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</si>
  <si>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</si>
  <si>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</si>
  <si>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</si>
  <si>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</si>
  <si>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</si>
  <si>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</si>
  <si>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</si>
  <si>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</si>
  <si>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</si>
  <si>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</si>
  <si>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</si>
  <si>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</si>
  <si>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</si>
  <si>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</si>
  <si>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</si>
  <si>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</si>
  <si>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</si>
  <si>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</si>
  <si>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</si>
  <si>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</si>
  <si>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</si>
  <si>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</si>
  <si>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</si>
  <si>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</si>
  <si>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</si>
  <si>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</si>
  <si>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</si>
  <si>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</si>
  <si>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</si>
  <si>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</si>
  <si>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</si>
  <si>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</si>
  <si>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</si>
  <si>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</si>
  <si>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</si>
  <si>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</si>
  <si>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</si>
  <si>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</si>
  <si>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</si>
  <si>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</si>
  <si>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</si>
  <si>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</si>
  <si>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</si>
  <si>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</si>
  <si>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</si>
  <si>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</si>
  <si>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</si>
  <si>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</si>
  <si>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</si>
  <si>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</si>
  <si>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</si>
  <si>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</si>
  <si>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</si>
  <si>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</si>
  <si>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</si>
  <si>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</si>
  <si>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</si>
  <si>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</si>
  <si>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</si>
  <si>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</si>
  <si>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</si>
  <si>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</si>
  <si>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</si>
  <si>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</si>
  <si>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</si>
  <si>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</si>
  <si>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</si>
  <si>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</si>
  <si>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</si>
  <si>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</si>
  <si>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</si>
  <si>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</si>
  <si>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</si>
  <si>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</si>
  <si>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</si>
  <si>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</si>
  <si>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</si>
  <si>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</si>
  <si>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</si>
  <si>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</si>
  <si>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</si>
  <si>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</si>
  <si>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</si>
  <si>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</si>
  <si>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</si>
  <si>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</si>
  <si>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</si>
  <si>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</si>
  <si>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</si>
  <si>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</si>
  <si>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</si>
  <si>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</si>
  <si>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</si>
  <si>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</si>
  <si>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</si>
  <si>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</si>
  <si>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</si>
  <si>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</si>
  <si>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</si>
  <si>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</si>
  <si>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</si>
  <si>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</si>
  <si>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</si>
  <si>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</si>
  <si>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</si>
  <si>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</si>
  <si>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</si>
  <si>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</si>
  <si>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</si>
  <si>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</si>
  <si>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</si>
  <si>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</si>
  <si>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</si>
  <si>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</si>
  <si>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</si>
  <si>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</si>
  <si>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</si>
  <si>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</si>
  <si>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</si>
  <si>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</si>
  <si>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</si>
  <si>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</si>
  <si>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</si>
  <si>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</si>
  <si>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</si>
  <si>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</si>
  <si>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</si>
  <si>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</si>
  <si>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</si>
  <si>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</si>
  <si>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</si>
  <si>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</si>
  <si>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</si>
  <si>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</si>
  <si>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</si>
  <si>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</si>
  <si>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</si>
  <si>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</si>
  <si>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</si>
  <si>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</si>
  <si>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</si>
  <si>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</si>
  <si>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</si>
  <si>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</si>
  <si>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</si>
  <si>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</si>
  <si>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</si>
  <si>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</si>
  <si>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</si>
  <si>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</si>
  <si>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</si>
  <si>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</si>
  <si>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</si>
  <si>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</si>
  <si>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</si>
  <si>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</si>
  <si>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</si>
  <si>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</si>
  <si>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</si>
  <si>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</si>
  <si>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</si>
  <si>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</si>
  <si>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</si>
  <si>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</si>
  <si>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</si>
  <si>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</si>
  <si>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</si>
  <si>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</si>
  <si>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</si>
  <si>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</si>
  <si>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</si>
  <si>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</si>
  <si>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</si>
  <si>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</si>
  <si>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</si>
  <si>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</si>
  <si>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</si>
  <si>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</si>
  <si>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</si>
  <si>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</si>
  <si>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</si>
  <si>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</si>
  <si>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</si>
  <si>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</si>
  <si>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</si>
  <si>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</si>
  <si>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</si>
  <si>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</si>
  <si>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</si>
  <si>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</si>
  <si>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</si>
  <si>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</si>
  <si>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</si>
  <si>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</si>
  <si>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</si>
  <si>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</si>
  <si>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</si>
  <si>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</si>
  <si>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</si>
  <si>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</si>
  <si>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</si>
  <si>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</si>
  <si>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</si>
  <si>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</si>
  <si>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</si>
  <si>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</si>
  <si>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</si>
  <si>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</si>
  <si>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</si>
  <si>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</si>
  <si>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</si>
  <si>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</si>
  <si>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</si>
  <si>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</si>
  <si>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</si>
  <si>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</si>
  <si>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</si>
  <si>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</si>
  <si>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</si>
  <si>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</si>
  <si>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</si>
  <si>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</si>
  <si>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</si>
  <si>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</si>
  <si>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</si>
  <si>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</si>
  <si>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</si>
  <si>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</si>
  <si>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</si>
  <si>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</si>
  <si>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</si>
  <si>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</si>
  <si>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</si>
  <si>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</si>
  <si>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</si>
  <si>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</si>
  <si>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</si>
  <si>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</si>
  <si>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</si>
  <si>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</si>
  <si>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</si>
  <si>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</si>
  <si>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</si>
  <si>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</si>
  <si>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</si>
  <si>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</si>
  <si>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</si>
  <si>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</si>
  <si>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</si>
  <si>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</si>
  <si>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</si>
  <si>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</si>
  <si>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</si>
  <si>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</si>
  <si>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</si>
  <si>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</si>
  <si>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</si>
  <si>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</si>
  <si>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</si>
  <si>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</si>
  <si>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</si>
  <si>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</si>
  <si>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</si>
  <si>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</si>
  <si>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</si>
  <si>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</si>
  <si>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</si>
  <si>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</si>
  <si>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</si>
  <si>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</si>
  <si>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</si>
  <si>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</si>
  <si>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</si>
  <si>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</si>
  <si>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</si>
  <si>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</si>
  <si>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</si>
  <si>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</si>
  <si>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</si>
  <si>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</si>
  <si>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</si>
  <si>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</si>
  <si>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</si>
  <si>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</si>
  <si>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</si>
  <si>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</si>
  <si>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</si>
  <si>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</si>
  <si>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</si>
  <si>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</si>
  <si>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</si>
  <si>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</si>
  <si>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</si>
  <si>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</si>
  <si>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</si>
  <si>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</si>
  <si>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</si>
  <si>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</si>
  <si>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</si>
  <si>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</si>
  <si>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</si>
  <si>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</si>
  <si>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</si>
  <si>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</si>
  <si>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</si>
  <si>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</si>
  <si>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</si>
  <si>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</si>
  <si>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</si>
  <si>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</si>
  <si>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</si>
  <si>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</si>
  <si>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</si>
  <si>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</si>
  <si>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</si>
  <si>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</si>
  <si>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</si>
  <si>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</si>
  <si>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</si>
  <si>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</si>
  <si>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</si>
  <si>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</si>
  <si>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</si>
  <si>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</si>
  <si>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</si>
  <si>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</si>
  <si>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</si>
  <si>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</si>
  <si>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</si>
  <si>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</si>
  <si>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</si>
  <si>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</si>
  <si>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</si>
  <si>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</si>
  <si>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</si>
  <si>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</si>
  <si>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</si>
  <si>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</si>
  <si>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</si>
  <si>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</si>
  <si>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</si>
  <si>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</si>
  <si>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</si>
  <si>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</si>
  <si>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</si>
  <si>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</si>
  <si>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</si>
  <si>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</si>
  <si>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</si>
  <si>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</si>
  <si>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</si>
  <si>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</si>
  <si>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</si>
  <si>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</si>
  <si>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</si>
  <si>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</si>
  <si>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</si>
  <si>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</si>
  <si>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</si>
  <si>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</si>
  <si>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</si>
  <si>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</si>
  <si>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</si>
  <si>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</si>
  <si>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</si>
  <si>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</si>
  <si>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</si>
  <si>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</si>
  <si>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</si>
  <si>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</si>
  <si>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</si>
  <si>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</si>
  <si>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</si>
  <si>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</si>
  <si>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</si>
  <si>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</si>
  <si>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</si>
  <si>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</si>
  <si>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</si>
  <si>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</si>
  <si>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</si>
  <si>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</si>
  <si>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</si>
  <si>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</si>
  <si>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</si>
  <si>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</si>
  <si>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</si>
  <si>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</si>
  <si>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</si>
  <si>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</si>
  <si>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</si>
  <si>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</si>
  <si>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</si>
  <si>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</si>
  <si>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</si>
  <si>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</si>
  <si>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</si>
  <si>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</si>
  <si>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</si>
  <si>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</si>
  <si>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</si>
  <si>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</si>
  <si>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</si>
  <si>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</si>
  <si>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</si>
  <si>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</si>
  <si>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</si>
  <si>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</si>
  <si>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</si>
  <si>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</si>
  <si>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</si>
  <si>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</si>
  <si>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</si>
  <si>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</si>
  <si>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</si>
  <si>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</si>
  <si>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</si>
  <si>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</si>
  <si>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</si>
  <si>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</si>
  <si>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</si>
  <si>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</si>
  <si>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</si>
  <si>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</si>
  <si>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</si>
  <si>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</si>
  <si>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</si>
  <si>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</si>
  <si>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</si>
  <si>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</si>
  <si>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</si>
  <si>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</si>
  <si>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</si>
  <si>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</si>
  <si>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</si>
  <si>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</si>
  <si>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</si>
  <si>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</si>
  <si>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</si>
  <si>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</si>
  <si>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</si>
  <si>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</si>
  <si>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</si>
  <si>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</si>
  <si>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</si>
  <si>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</si>
  <si>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</si>
  <si>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</si>
  <si>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</si>
  <si>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</si>
  <si>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</si>
  <si>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</si>
  <si>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</si>
  <si>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</si>
  <si>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</si>
  <si>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</si>
  <si>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</si>
  <si>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</si>
  <si>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</si>
  <si>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</si>
  <si>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</si>
  <si>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</si>
  <si>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</si>
  <si>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</si>
  <si>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</si>
  <si>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</si>
  <si>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</si>
  <si>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</si>
  <si>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</si>
  <si>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</si>
  <si>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</si>
  <si>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</si>
  <si>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</si>
  <si>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</si>
  <si>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</si>
  <si>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</si>
  <si>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</si>
  <si>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</si>
  <si>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</si>
  <si>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</si>
  <si>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</si>
  <si>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</si>
  <si>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</si>
  <si>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</si>
  <si>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</si>
  <si>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</si>
  <si>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</si>
  <si>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</si>
  <si>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</si>
  <si>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</si>
  <si>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</si>
  <si>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</si>
  <si>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</si>
  <si>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</si>
  <si>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</si>
  <si>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</si>
  <si>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</si>
  <si>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</si>
  <si>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</si>
  <si>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</si>
  <si>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</si>
  <si>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</si>
  <si>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</si>
  <si>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</si>
  <si>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</si>
  <si>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</si>
  <si>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</si>
  <si>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</si>
  <si>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</si>
  <si>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</si>
  <si>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</si>
  <si>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</si>
  <si>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</si>
  <si>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</si>
  <si>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</si>
  <si>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</si>
  <si>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</si>
  <si>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</si>
  <si>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</si>
  <si>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</si>
  <si>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</si>
  <si>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</si>
  <si>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</si>
  <si>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</si>
  <si>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</si>
  <si>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</si>
  <si>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</si>
  <si>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</si>
  <si>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</si>
  <si>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</si>
  <si>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</si>
  <si>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</si>
  <si>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</si>
  <si>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</si>
  <si>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</si>
  <si>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</si>
  <si>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</si>
  <si>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</si>
  <si>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</si>
  <si>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</si>
  <si>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</si>
  <si>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</si>
  <si>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</si>
  <si>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</si>
  <si>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</si>
  <si>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</si>
  <si>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</si>
  <si>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</si>
  <si>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</si>
  <si>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</si>
  <si>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</si>
  <si>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</si>
  <si>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</si>
  <si>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</si>
  <si>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</si>
  <si>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</si>
  <si>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</si>
  <si>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</si>
  <si>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</si>
  <si>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</si>
  <si>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</si>
  <si>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</si>
  <si>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</si>
  <si>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</si>
  <si>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</si>
  <si>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</si>
  <si>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</si>
  <si>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</si>
  <si>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</si>
  <si>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</si>
  <si>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</si>
  <si>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</si>
  <si>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</si>
  <si>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</si>
  <si>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</si>
  <si>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</si>
  <si>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</si>
  <si>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</si>
  <si>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</si>
  <si>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</si>
  <si>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</si>
  <si>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</si>
  <si>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</si>
  <si>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</si>
  <si>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</si>
  <si>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</si>
  <si>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</si>
  <si>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</si>
  <si>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</si>
  <si>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</si>
  <si>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</si>
  <si>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</si>
  <si>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</si>
  <si>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</si>
  <si>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</si>
  <si>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</si>
  <si>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</si>
  <si>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</si>
  <si>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</si>
  <si>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</si>
  <si>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</si>
  <si>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</si>
  <si>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</si>
  <si>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</si>
  <si>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</si>
  <si>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</si>
  <si>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</si>
  <si>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</si>
  <si>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</si>
  <si>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</si>
  <si>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</si>
  <si>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</si>
  <si>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</si>
  <si>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</si>
  <si>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</si>
  <si>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</si>
  <si>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</si>
  <si>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</si>
  <si>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</si>
  <si>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</si>
  <si>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</si>
  <si>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</si>
  <si>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</si>
  <si>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</si>
  <si>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</si>
  <si>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</si>
  <si>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</si>
  <si>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</si>
  <si>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</si>
  <si>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</si>
  <si>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</si>
  <si>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</si>
  <si>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</si>
  <si>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</si>
  <si>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</si>
  <si>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</si>
  <si>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</si>
  <si>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</si>
  <si>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</si>
  <si>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</si>
  <si>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</si>
  <si>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</si>
  <si>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</si>
  <si>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</si>
  <si>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</si>
  <si>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</si>
  <si>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</si>
  <si>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</si>
  <si>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</si>
  <si>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</si>
  <si>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</si>
  <si>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</si>
  <si>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</si>
  <si>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</si>
  <si>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</si>
  <si>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</si>
  <si>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</si>
  <si>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</si>
  <si>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</si>
  <si>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</si>
  <si>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</si>
  <si>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</si>
  <si>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</si>
  <si>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</si>
  <si>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</si>
  <si>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</si>
  <si>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</si>
  <si>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</si>
  <si>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</si>
  <si>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</si>
  <si>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</si>
  <si>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</si>
  <si>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</si>
  <si>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</si>
  <si>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</si>
  <si>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</si>
  <si>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</si>
  <si>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</si>
  <si>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</si>
  <si>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</si>
  <si>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</si>
  <si>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</si>
  <si>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</si>
  <si>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</si>
  <si>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</si>
  <si>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</si>
  <si>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</si>
  <si>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</si>
  <si>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</si>
  <si>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</si>
  <si>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</si>
  <si>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</si>
  <si>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</si>
  <si>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</si>
  <si>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</si>
  <si>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</si>
  <si>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</si>
  <si>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</si>
  <si>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</si>
  <si>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</si>
  <si>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</si>
  <si>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</si>
  <si>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</si>
  <si>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</si>
  <si>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</si>
  <si>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</si>
  <si>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</si>
  <si>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</si>
  <si>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</si>
  <si>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</si>
  <si>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</si>
  <si>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</si>
  <si>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</si>
  <si>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</si>
  <si>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</si>
  <si>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</si>
  <si>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</si>
  <si>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</si>
  <si>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</si>
  <si>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</si>
  <si>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</si>
  <si>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</si>
  <si>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</si>
  <si>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</si>
  <si>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</si>
  <si>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</si>
  <si>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</si>
  <si>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</si>
  <si>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</si>
  <si>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</si>
  <si>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</si>
  <si>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</si>
  <si>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</si>
  <si>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</si>
  <si>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</si>
  <si>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</si>
  <si>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</si>
  <si>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</si>
  <si>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</si>
  <si>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</si>
  <si>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</si>
  <si>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</si>
  <si>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</si>
  <si>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</si>
  <si>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</si>
  <si>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</si>
  <si>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</si>
  <si>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</si>
  <si>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</si>
  <si>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</si>
  <si>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</si>
  <si>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</si>
  <si>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</si>
  <si>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</si>
  <si>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</si>
  <si>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</si>
  <si>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</si>
  <si>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</si>
  <si>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</si>
  <si>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</si>
  <si>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</si>
  <si>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</si>
  <si>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</si>
  <si>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</si>
  <si>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</si>
  <si>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</si>
  <si>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</si>
  <si>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</si>
  <si>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</si>
  <si>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</si>
  <si>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</si>
  <si>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</si>
  <si>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</si>
  <si>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</si>
  <si>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</si>
  <si>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</si>
  <si>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</si>
  <si>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</si>
  <si>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</si>
  <si>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</si>
  <si>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</si>
  <si>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</si>
  <si>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</si>
  <si>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</si>
  <si>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</si>
  <si>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</si>
  <si>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</si>
  <si>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</si>
  <si>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</si>
  <si>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</si>
  <si>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</si>
  <si>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</si>
  <si>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</si>
  <si>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</si>
  <si>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</si>
  <si>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</si>
  <si>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</si>
  <si>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</si>
  <si>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</si>
  <si>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</si>
  <si>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</si>
  <si>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</si>
  <si>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</si>
  <si>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</si>
  <si>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</si>
  <si>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</si>
  <si>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</si>
  <si>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</si>
  <si>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</si>
  <si>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</si>
  <si>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</si>
  <si>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</si>
  <si>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</si>
  <si>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</si>
  <si>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</si>
  <si>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</si>
  <si>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</si>
  <si>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</si>
  <si>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</si>
  <si>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</si>
  <si>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</si>
  <si>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</si>
  <si>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</si>
  <si>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</si>
  <si>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</si>
  <si>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</si>
  <si>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</si>
  <si>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</si>
  <si>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</si>
  <si>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</si>
  <si>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</si>
  <si>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</si>
  <si>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</si>
  <si>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</si>
  <si>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</si>
  <si>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</si>
  <si>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</si>
  <si>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</si>
  <si>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</si>
  <si>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</si>
  <si>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</si>
  <si>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</si>
  <si>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</si>
  <si>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</si>
  <si>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</si>
  <si>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</si>
  <si>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</si>
  <si>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</si>
  <si>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</si>
  <si>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</si>
  <si>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</si>
  <si>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</si>
  <si>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</si>
  <si>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</si>
  <si>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</si>
  <si>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</si>
  <si>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</si>
  <si>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</si>
  <si>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</si>
  <si>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</si>
  <si>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</si>
  <si>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</si>
  <si>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</si>
  <si>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</si>
  <si>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</si>
  <si>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</si>
  <si>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</si>
  <si>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</si>
  <si>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</si>
  <si>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</si>
  <si>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</si>
  <si>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</si>
  <si>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</si>
  <si>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</si>
  <si>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</si>
  <si>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</si>
  <si>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</si>
  <si>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</si>
  <si>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</si>
  <si>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</si>
  <si>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</si>
  <si>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</si>
  <si>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</si>
  <si>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</si>
  <si>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</si>
  <si>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</si>
  <si>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</si>
  <si>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</si>
  <si>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</si>
  <si>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</si>
  <si>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</si>
  <si>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</si>
  <si>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</si>
  <si>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</si>
  <si>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</si>
  <si>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</si>
  <si>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</si>
  <si>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</si>
  <si>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</si>
  <si>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</si>
  <si>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</si>
  <si>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</si>
  <si>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</si>
  <si>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</si>
  <si>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</si>
  <si>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</si>
  <si>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</si>
  <si>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</si>
  <si>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</si>
  <si>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</si>
  <si>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</si>
  <si>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</si>
  <si>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</si>
  <si>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</si>
  <si>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</si>
  <si>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</si>
  <si>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</si>
  <si>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</si>
  <si>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</si>
  <si>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</si>
  <si>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</si>
  <si>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</si>
  <si>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</si>
  <si>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</si>
  <si>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</si>
  <si>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</si>
  <si>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</si>
  <si>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</si>
  <si>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</si>
  <si>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</si>
  <si>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</si>
  <si>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</si>
  <si>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</si>
  <si>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</si>
  <si>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</si>
  <si>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</si>
  <si>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</si>
  <si>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</si>
  <si>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</si>
  <si>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</si>
  <si>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</si>
  <si>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</si>
  <si>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</si>
  <si>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</si>
  <si>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</si>
  <si>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</si>
  <si>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</si>
  <si>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</si>
  <si>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</si>
  <si>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</si>
  <si>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</si>
  <si>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</si>
  <si>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</si>
  <si>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</si>
  <si>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</si>
  <si>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</si>
  <si>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</si>
  <si>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</si>
  <si>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</si>
  <si>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</si>
  <si>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</si>
  <si>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</si>
  <si>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</si>
  <si>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</si>
  <si>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</si>
  <si>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</si>
  <si>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</si>
  <si>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</si>
  <si>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</si>
  <si>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</si>
  <si>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</si>
  <si>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</si>
  <si>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</si>
  <si>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</si>
  <si>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</si>
  <si>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</si>
  <si>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</si>
  <si>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</si>
  <si>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</si>
  <si>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</si>
  <si>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</si>
  <si>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</si>
  <si>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</si>
  <si>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</si>
  <si>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</si>
  <si>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</si>
  <si>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</si>
  <si>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</si>
  <si>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</si>
  <si>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</si>
  <si>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</si>
  <si>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</si>
  <si>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</si>
  <si>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</si>
  <si>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</si>
  <si>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</si>
  <si>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</si>
  <si>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</si>
  <si>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</si>
  <si>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</si>
  <si>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</si>
  <si>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</si>
  <si>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</si>
  <si>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</si>
  <si>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</si>
  <si>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</si>
  <si>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</si>
  <si>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</si>
  <si>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</si>
  <si>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</si>
  <si>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</si>
  <si>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</si>
  <si>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</si>
  <si>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</si>
  <si>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</si>
  <si>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</si>
  <si>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</si>
  <si>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</si>
  <si>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</si>
  <si>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</si>
  <si>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</si>
  <si>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</si>
  <si>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</si>
  <si>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</si>
  <si>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</si>
  <si>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</si>
  <si>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</si>
  <si>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</si>
  <si>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</si>
  <si>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</si>
  <si>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</si>
  <si>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</si>
  <si>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</si>
  <si>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</si>
  <si>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</si>
  <si>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</si>
  <si>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</si>
  <si>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</si>
  <si>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</si>
  <si>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</si>
  <si>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</si>
  <si>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</si>
  <si>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</si>
  <si>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</si>
  <si>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</si>
  <si>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</si>
  <si>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</si>
  <si>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</si>
  <si>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</si>
  <si>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</si>
  <si>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</si>
  <si>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</si>
  <si>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</si>
  <si>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</si>
  <si>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</si>
  <si>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</si>
  <si>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</si>
  <si>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</si>
  <si>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</si>
  <si>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</si>
  <si>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</si>
  <si>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</si>
  <si>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</si>
  <si>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</si>
  <si>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</si>
  <si>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</si>
  <si>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</si>
  <si>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</si>
  <si>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</si>
  <si>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</si>
  <si>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</si>
  <si>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</si>
  <si>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</si>
  <si>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</si>
  <si>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</si>
  <si>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</si>
  <si>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</si>
  <si>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</si>
  <si>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</si>
  <si>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</si>
  <si>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</si>
  <si>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</si>
  <si>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</si>
  <si>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</si>
  <si>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</si>
  <si>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</si>
  <si>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</si>
  <si>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</si>
  <si>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</si>
  <si>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</si>
  <si>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</si>
  <si>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</si>
  <si>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</si>
  <si>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</si>
  <si>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</si>
  <si>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</si>
  <si>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</si>
  <si>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</si>
  <si>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</si>
  <si>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</si>
  <si>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</si>
  <si>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</si>
  <si>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</si>
  <si>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</si>
  <si>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</si>
  <si>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</si>
  <si>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</si>
  <si>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</si>
  <si>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</si>
  <si>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</si>
  <si>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</si>
  <si>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</si>
  <si>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</si>
  <si>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</si>
  <si>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</si>
  <si>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</si>
  <si>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</si>
  <si>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</si>
  <si>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</si>
  <si>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</si>
  <si>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</si>
  <si>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</si>
  <si>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</si>
  <si>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</si>
  <si>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</si>
  <si>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</si>
  <si>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</si>
  <si>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</si>
  <si>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</si>
  <si>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</si>
  <si>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</si>
  <si>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</si>
  <si>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</si>
  <si>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</si>
  <si>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</si>
  <si>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</si>
  <si>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</si>
  <si>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</si>
  <si>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</si>
  <si>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</si>
  <si>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</si>
  <si>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</si>
  <si>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</si>
  <si>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</si>
  <si>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</si>
  <si>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</si>
  <si>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</si>
  <si>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</si>
  <si>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</si>
  <si>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</si>
  <si>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</si>
  <si>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</si>
  <si>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</si>
  <si>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</si>
  <si>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</si>
  <si>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</si>
  <si>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</si>
  <si>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</si>
  <si>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</si>
  <si>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</si>
  <si>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</si>
  <si>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</si>
  <si>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</si>
  <si>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</si>
  <si>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</si>
  <si>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</si>
  <si>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</si>
  <si>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</si>
  <si>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</si>
  <si>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</si>
  <si>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</si>
  <si>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2021PA-037</t>
  </si>
  <si>
    <t>Pennrose LLC</t>
  </si>
  <si>
    <t>Mark H Dambly</t>
  </si>
  <si>
    <t>President</t>
  </si>
  <si>
    <t>230 Wyoming Avenue</t>
  </si>
  <si>
    <t>mdambly@pennrose.com</t>
  </si>
  <si>
    <t>Amon Martin</t>
  </si>
  <si>
    <t>Regional Vice President</t>
  </si>
  <si>
    <t>675 Ponce de Leon Avenue NE, Suite 8500</t>
  </si>
  <si>
    <t>amartin@pennrose.com</t>
  </si>
  <si>
    <t>Roswell Redevelopment Phase I</t>
  </si>
  <si>
    <t>Yes - no Master Plan</t>
  </si>
  <si>
    <t>151 Oak Street</t>
  </si>
  <si>
    <t>114.05</t>
  </si>
  <si>
    <t>The City of Roswell</t>
  </si>
  <si>
    <t>https://www.roswellgov.com/home</t>
  </si>
  <si>
    <t>Lori Henry</t>
  </si>
  <si>
    <t>Mayor of Roswell</t>
  </si>
  <si>
    <t>38 Hill Street</t>
  </si>
  <si>
    <t>mayorhenry@roswellgov.com</t>
  </si>
  <si>
    <t>N/a</t>
  </si>
  <si>
    <t>Pennrose Holdings LLC</t>
  </si>
  <si>
    <t>West Point Village Phase II</t>
  </si>
  <si>
    <t>HUNT PR Holdings, LLC</t>
  </si>
  <si>
    <t>Collaborative Housing Solutions, Inc.</t>
  </si>
  <si>
    <t>TWC Housing LLC / HUNT ELP, LTD</t>
  </si>
  <si>
    <t>River Pointe II Phase II</t>
  </si>
  <si>
    <t>Direct</t>
  </si>
  <si>
    <t>199 Grove Way</t>
  </si>
  <si>
    <t>Beth Brown</t>
  </si>
  <si>
    <t>Executive Director</t>
  </si>
  <si>
    <t>http://www.roswellhousing.org/</t>
  </si>
  <si>
    <t>bbrown@gainesvillehousing.org</t>
  </si>
  <si>
    <t>Multifamily Residential Family tenants utilizing HUD's RAD PBRA program</t>
  </si>
  <si>
    <t>Novogradac Rent &amp; Income Calculator</t>
  </si>
  <si>
    <t>Oak Street I LLC</t>
  </si>
  <si>
    <t>Mark H. Dambly</t>
  </si>
  <si>
    <t>President of Managing Mbr.</t>
  </si>
  <si>
    <t>For Profit</t>
  </si>
  <si>
    <t>https://www.pennrose.com/</t>
  </si>
  <si>
    <t>Hudson Housing Capital LLC</t>
  </si>
  <si>
    <t>630 Fifth Avenue</t>
  </si>
  <si>
    <t>New York</t>
  </si>
  <si>
    <t>Kimmel Cameron</t>
  </si>
  <si>
    <t>Senior Vice President</t>
  </si>
  <si>
    <t>kimmel.cameron@hudsonhousing.com</t>
  </si>
  <si>
    <t>https://www.hudsonhousing.com/</t>
  </si>
  <si>
    <t>1301 N 31st Street</t>
  </si>
  <si>
    <t>Philadelphia</t>
  </si>
  <si>
    <t>Capstone Building Corp.</t>
  </si>
  <si>
    <t>3415 Independence Drive</t>
  </si>
  <si>
    <t>Birmingham</t>
  </si>
  <si>
    <t>www.capstonebuilding.com</t>
  </si>
  <si>
    <t>ctravis@capstonebuilding.com</t>
  </si>
  <si>
    <t>Chris Travis</t>
  </si>
  <si>
    <t>Sr. VP Finance</t>
  </si>
  <si>
    <t>Pennrose Management Company</t>
  </si>
  <si>
    <t>Berman Indictor LLP</t>
  </si>
  <si>
    <t>30 N 41st Street, Ste 450</t>
  </si>
  <si>
    <t>Steve Berman</t>
  </si>
  <si>
    <t>CohnReznick</t>
  </si>
  <si>
    <t>500 East Pratt Street, Ste. 200</t>
  </si>
  <si>
    <t>Baltimore</t>
  </si>
  <si>
    <t>Michael Cumming</t>
  </si>
  <si>
    <t>www.cohnreznick.com</t>
  </si>
  <si>
    <t>mike.cumming@cohnreznick.com</t>
  </si>
  <si>
    <t>Kitchen and Associates</t>
  </si>
  <si>
    <t>756 Haddon Avenue</t>
  </si>
  <si>
    <t>Steve Schoch</t>
  </si>
  <si>
    <t>Collingwood</t>
  </si>
  <si>
    <t>www.kitchenandassociates.com</t>
  </si>
  <si>
    <t>sschoch@kitchenandassociates.com</t>
  </si>
  <si>
    <t>Owner and Management Company</t>
  </si>
  <si>
    <t>The Owner and Management Company are both part of Pennrose. The current underwriting shows the management fee at 6% which is within DCA's underwriting standards</t>
  </si>
  <si>
    <t>Applicant has entered into an Option to Ground Lease with the Housing Authority of the city of Roswell (RHA). RHA is a co-general partner owner and a developer in the project</t>
  </si>
  <si>
    <t>Pennrose Holdings</t>
  </si>
  <si>
    <t>Capstone Building Corp</t>
  </si>
  <si>
    <t>RAD Section 8 PBRA</t>
  </si>
  <si>
    <t>Truist Community Capital</t>
  </si>
  <si>
    <t>Agree</t>
  </si>
  <si>
    <t>N/ap</t>
  </si>
  <si>
    <t>N/Ap</t>
  </si>
  <si>
    <t>Everson, Huber &amp; Associates, LC</t>
  </si>
  <si>
    <t>Tri-State Environmental, Inc.</t>
  </si>
  <si>
    <t>Harry Walls Environmental Consulting</t>
  </si>
  <si>
    <t>&lt;65</t>
  </si>
  <si>
    <t>Not Applicable</t>
  </si>
  <si>
    <t>Ground lease/Option</t>
  </si>
  <si>
    <t xml:space="preserve">Oak Street I LLC and the Housing Authority of the city of Roswell (RHA) have executed an option to enter into a Long-Term Ground Lease. </t>
  </si>
  <si>
    <t>The project site is bound on all sides by public, legally accessible, paved roads. The documentation required per the 2021 DCA QAP is located in Tab 9</t>
  </si>
  <si>
    <t>Not applicable</t>
  </si>
  <si>
    <t>Georgia Power</t>
  </si>
  <si>
    <t>City of Roswell</t>
  </si>
  <si>
    <t>Fulton County</t>
  </si>
  <si>
    <t>Water and Sewer letters meeting the DCA QAP 2021 requirements are included in Tab 12</t>
  </si>
  <si>
    <t>Gas will not be utilized on the subject development as the property will be all electric. A letter from Georgia Power meeting the DCA QAP 2021 requirements is included in Tab 11</t>
  </si>
  <si>
    <t>Gazebo</t>
  </si>
  <si>
    <t>Room</t>
  </si>
  <si>
    <t>The Conceptual Site Development Plan meets all DCA requirements. Location and Vicinity Maps show geo-coordinates and entire region and municipality. Site pictures are in color, numbered, dated and include descriptions. All site photos are keyed to the site map. The most recent online satelite map images show approximate boundaires of the subject property.</t>
  </si>
  <si>
    <t>The applicant agrees to comply with DCA's building sustainability standards. Randy Clack of Pennrose LLC (who is affliated with the managing General Partner and Developer) participated in the DCA Green Building Webinar. A draft EarthCraft worksheet and a copy of the Green Building Certification is included in the application folder.</t>
  </si>
  <si>
    <t>Diligent Construction Services, Inc.</t>
  </si>
  <si>
    <t>Applicant agrees to comply with all required DCA accessibility regulations and standards</t>
  </si>
  <si>
    <t>Yes - W&amp;D hookups installed in each unit</t>
  </si>
  <si>
    <t>The project will comply with all applicable DCA 2021 achitectural design and quality standards</t>
  </si>
  <si>
    <t>The applicant is deemed qualified as outlined in the executed DCA 2021 Qualification Determination.</t>
  </si>
  <si>
    <t>Third-party</t>
  </si>
  <si>
    <t>Relocation specialist</t>
  </si>
  <si>
    <t>Housing to Home</t>
  </si>
  <si>
    <t>City Limits</t>
  </si>
  <si>
    <t>Amortizing</t>
  </si>
  <si>
    <t>Oak Street I MM LLC</t>
  </si>
  <si>
    <t>Construction Lender Due Diligence Fees</t>
  </si>
  <si>
    <t>Utilities: Transformer &amp; Site Lighting</t>
  </si>
  <si>
    <t>Georgia DCA North 2021 DCA</t>
  </si>
  <si>
    <t>Electric Heat Pump</t>
  </si>
  <si>
    <t>Novogradac Consulting LP</t>
  </si>
  <si>
    <t>Five to Six months (pg. 98 of Market Study)</t>
  </si>
  <si>
    <t>95.60% (pg. 61 of Market Study)</t>
  </si>
  <si>
    <t>2019-043</t>
  </si>
  <si>
    <t>Veranda at Groveway</t>
  </si>
  <si>
    <t>Manchester at Mansell</t>
  </si>
  <si>
    <t>Roswell Creek</t>
  </si>
  <si>
    <t>34.01954</t>
  </si>
  <si>
    <t>MARTA (Metropolitan Atlanta Rapid Transit Authority)</t>
  </si>
  <si>
    <t>custserv@itsmarta.com</t>
  </si>
  <si>
    <t>https://www.itsmarta.com/85.aspx</t>
  </si>
  <si>
    <t>https://www.itsmarta.com/pdfs/maps/85.pdf</t>
  </si>
  <si>
    <t>Roswell High School</t>
  </si>
  <si>
    <t>Crabapple Middle School</t>
  </si>
  <si>
    <t>Vickey Mill Elementary School</t>
  </si>
  <si>
    <t>The bus stop is located within a 0.5 miles from the primary pedestrian entrace per the latest mapping software.</t>
  </si>
  <si>
    <t>Other Census Tract</t>
  </si>
  <si>
    <t>114.23</t>
  </si>
  <si>
    <t>At or Below 60th Percentile</t>
  </si>
  <si>
    <t>Above 60th Percentile</t>
  </si>
  <si>
    <t>At or Above 80th Percentile</t>
  </si>
  <si>
    <t>Per the DCA mapping tool there is only project within the city of Roswell's boundaries. The lone project, according to DCA's mapping tool, what awarded in 2014 resulting in the project qualifying for 4 points under the "15 Years Lookback Period" section</t>
  </si>
  <si>
    <t>Construction due dligence for third party studies and other due diligence.</t>
  </si>
  <si>
    <t>Amount to purchase transformer and site lighting to bring power to the site and meet DCA standards for site lighting</t>
  </si>
  <si>
    <t>The applicant has submitted a proposal which conforms to the 2021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 Total Developer Fee is within 2021 QAP Limits.</t>
  </si>
  <si>
    <t>The Total Development Costs are below the project maximum</t>
  </si>
  <si>
    <t>The applicant has elected family tenancy for this project</t>
  </si>
  <si>
    <t>2005-074</t>
  </si>
  <si>
    <t>This project will comply with all Affirmative Furthering Fair Housing Laws.</t>
  </si>
  <si>
    <t>The owners will ensure the complete, effective, efficient, and lawful utilization of the low income housing tax credits if awarded by DCA.</t>
  </si>
  <si>
    <t xml:space="preserve">Included in our Application is a Utility Analysis Study by Dominion Due Diligence Group.  The current utilities for the existing RAD units include Gas.  The Roswell Redevelopment Phase I will be all electric, no gas.  Residents will pay the unit electric costs and the property will Trash, Water and Sewer.  </t>
  </si>
  <si>
    <t>Applicant agrees to provide the required number and kinds of services as required in the 2021 QAP for projects with a family tenancy. The project is 95 units: therefore a full-time service manager is not included in the operating budget. The project team does not anticpate using temporary staffing during lease-up to handle activities set-up and sign up. The Applicant is not planning to have a part-time Activities Manager, although we have selected "Agree" as we do not "Disagree" with this policy. The project does not involve rehabiliation of an existing congregate supportive housing development, therefore no MOU with a behavioral health agency or service provider for supportive housing services</t>
  </si>
  <si>
    <t>The market study provided meets the requirements of the 2021 Market Study manual. Two DCA funded projects located in PMA are Roswell Creek and Manchester at Mansell. Per the market anaylst the Roswell Creek property was first developed in 1970 and renovated in 2005. The Manchester at Mansell project was first developed in 1984 and renovated in 2008 utilizing bond financing, DCA online records date back to 2013 for bond financed projects. 
Based on the performance of the affordable developments located in Roswell and surrounding communities, it appears that affordable housing in the area is in high demand.   The City of Roswell has barriers to entry for affordable housing (zoning, high land costs, etc.) therefore there are very little affordable housing options.  There are a limited number of affordable rental development located in the PMA, with those properties exhibiting stable vacancy and rent growth over the past 12 months. Additionally, capture rates for the Subject indicate an adequate number of income-qualified households for the proposed Subject units. Overall, we believe that the current performance of the affordable multifamily market indicates demand for affordable housing in Roswell.</t>
  </si>
  <si>
    <t xml:space="preserve">The applicant has entered into an Option to Ground Lease with the Housing Authority of the City of Roswell who is a co-general partner/managing member owner and developer in the project. Per the 2021 QAP an appraisal was provided to ensure the value of the land or pre-paid ground lease was not inflated. </t>
  </si>
  <si>
    <t>Not Applicable.  We have provided evidence of property tax exemption in TAB 02</t>
  </si>
  <si>
    <t>The Roswell Housing Authority (RHA) converted the public housing project – Pelfrey Pines, to RAD in 2015.  During the RAD conversion, RHA did not complete a substantial renovation of the housing and recently has been large capital needs and are in need of a transformative project.  Pennrose, LLC is partnering with RHA to complete a transformative project to reposition their affordable housing existing 95 RAD units so that they will continue to provide quality affordable housing for years to come in the City of Roswell. As part of this redevelopment project, our Team will utilize a Transfer of Assistance process in the RAD program to transfer the existing RAD/PBRA assistance from the existing Pelfrey Pines 95-units to the newly developed 95 LIHTC units as proposed in this Application.  The site will be located on approximately 3.0 acres of the existing Pelfrey Pines footprint.  The project has an existing HAP Contract that will be transferred to the newly developed Project – Roswell Redevelopment Phase I.   If the project is successful in securing 9% LIHTCs in the 2021 Round, the project team estimates to complete construction with the first two buildings and moving residents into the new project during 4th Quarter 2023.  As described in our Relocation Plan, we will minimize the temporary off-site relocation for households in the existing units.  tenants will be displaced and no tenants will require temporary relocation.  All DCA required Relocation Plan and items are attached in TAB 25.</t>
  </si>
  <si>
    <t>This project will have RAD subsidy and are allowed to go up to 80% AMI.  As demonstrated in our Market Study, our project has acheivable rents at/above 80% AMI.  The RAD subsidy allows for deeper targeting at 30% AMI, thus allowing for an Income Averaging percentage well below 58%.  This site location is eligible to receive 20 points in this category as it qualifies for points in Categories: C. Supermarket/Grocery Store, D. Restaurants, F. Medical Care Provider, G. Pharmacy, H. Licensed Childcare service, J. Elementary, Middle or High School, L. Community or Recreational Center, M. Public Park/Public Community Garden Greater than 25,000 sqft, N. Public Park/Public Community Garden less than 25,000 sqft, O. Public Library, P. Fire Station or Police Station, Q. Federally Insured Banking Institutions, R. Place of Worship for a total of 23.50 points.
Additionally, the project site is not located in a food desert as evidenced by USDA Food Access Research Atlas showing LI and LA at 1 and 20 miles. There are no undesirables in the area.</t>
  </si>
  <si>
    <t xml:space="preserve">This project qualifies for eight points under the 2021 QAP Stable Communities scoring section. While the census tract the site is located with in does not score under the current guidelines, the site is located with .25 miles of a census tract that would meet the highest points total resulting in four points for part A of this section. Further, the census in which the site is located has metrics above the 60th percentile for Employment Rates, and Life expectancy. The project also is above the 80th percentile for median income resulting in 4 additional points for a total of 8 points for this scoring section.  </t>
  </si>
  <si>
    <t xml:space="preserve">This project will have RAD subsidy and are allowed to go up to 80% AMI.  As demonstrated in our Market Study, our project has acheivable rents at/above 80% AMI.  The RAD subsidy allows for deeper targeting at 30% AMI, thus allowing for an Income Averaging percentage well below 58%. </t>
  </si>
  <si>
    <t>Water &amp; Sewer Service Charge</t>
  </si>
  <si>
    <t>Originally constructed in 1953 Roswell Housing Authority had been operating the existing 95 units as public housing until the units underwent a RAD conversion in 2015. The development plan calls for temporary off-site relocation and demolition of up to 28 households (current relocation plan estimates 21) of the existing 95 units to allow for new construction of 95 units. Once complete all existing 95 households will be relocated to the newly constructed 95 units</t>
  </si>
  <si>
    <t xml:space="preserve">The Rents are based on annual OCAF increase from Rent Schedule included in TAB 02.  The property recieves an annual OCAF increase (approx. 2.0%) annually from HUD.  This project will be Tax Exempt per the State of Georgia Private Enterprise Agreement, see opinion in TAB 02.  We have budgeted $5,000 for non-exempt annual taxes/fees.   Property Insurance estimate is based on the estimate provided by our insurance carrier of $59,164 (rounded to $60,000), please see in TAB 02.  
</t>
  </si>
  <si>
    <t xml:space="preserve">Section XI. A, ,B, C &amp; D - Roswell Redevelopment Phase I is being submitted as a capacity building Application with the Housing Authority of the City of Roswell (RHA).  RHA is a non-fully qualified/experienced as a developer/owner for LIHTCs, and is seeking to gain development/ownership experience by partnering with Pennrose.   Pennrose LLC is partnering with RHA to build capacity and gain LIHTC expereince with DCA.  RHA has provided affordable housing in the City of Roswell at Pelfrey Pines (existing 95 RAD units) for over 50-years.  By partnering with RHA, we are able to build RHA's capacity, both financial and experience.  RHA is the leader for providing affordable housing in the City of Roswell.  This capacity building partnership will enable RHA to continue to not only be a leader in affordable housing but to create additional affordable housing in a area with high barriers of entry.  This Application is submitted by Pennrose, LLC and Hunt PR Holdings LLC as a  3rd Application which involves a partnership with a non-fully qualified entity gaining development/ownership experience.  If selected for funding for this 3rd project, requesting waiver for credit cap per developer.  </t>
  </si>
  <si>
    <t xml:space="preserve">RHA converted Pelfrey Pines to RAD in 2015.  This Project has existing RAD (Section 8) which will be transferred to the new development - Roswel Redevelopment Phase I.  The Perm 1st Mortgage will be a Freddie Mac Loan </t>
  </si>
  <si>
    <t xml:space="preserve">Grandbridge Real Estate Capital </t>
  </si>
  <si>
    <t xml:space="preserve">The construction costs were determined based on guidance from our proposed General Contractor and estimated pricing at the time of start of construction.  The demolition (6 one story buildings) and remediation costs are included in the construction estimate line item row #30.  Construction Loan Interest was calculated based on the projected flow of funds.  Local government fees were confirmed by the local government.  Charts with the fee breakdown are provided by the of the City of Roswell that were utilized in estimating the costs.  </t>
  </si>
  <si>
    <t xml:space="preserve">The Project meets DCA required DSCR requirements and the Perm Debt payments are aligned with the Part III sources.  Management fee is a percentag of net rental income, it is not a set fee that grows by a percentage each year.  </t>
  </si>
  <si>
    <t>On-site laundry</t>
  </si>
  <si>
    <t xml:space="preserve">The proposed development consists of 95 units; only two additional site amenities are required.   Units will have washer &amp; dryer "hookups" Only as required by DCA Architectural Manual.  </t>
  </si>
  <si>
    <t xml:space="preserve">Scoring Section XV. Extended Affordability Commitment - The Applicant has agreed to a ROFR at minimum IRS guidelines/requirements.  This is creating future "real" value to RHA.  The site is in a Stable Community and has value today.  The ROFR and waicver of Qualified Contract creates real future value to RHA thus insuring that RHA will have capaicity in future years if ROFR is executed.  Pennrose  is waiving the option of Qualified Contract and granting RHA a Right of First Refusal (ROFR) under IRS minimum guidelines. If exercised after the compliance period, RHA will benefit from likely substantial asset appreciation, especially after current RAD contract expires in 2035. Currently, RAD rents are below achievable tax credit rents and substantially below market rate/unrestricted rents.  </t>
  </si>
  <si>
    <t xml:space="preserve">Per the CCRPI scoring website, both Roswell High School and Crabapple Middle School meet the DCA threshold and Vickery Mill received a 2018 Beating the Odds designation. </t>
  </si>
  <si>
    <t xml:space="preserve">Co-Developer 1 ,  the Housing Authority of the City of Roswell (RHA), is a public housing agency and has partnered with Pennrose to gain development/ownership experience/capacity in an effort to revitalize their existing RAD portfolio and adjacent properties.  Roswell Redevelopment Phase I is being submitted as a capacity building Application with RHA.  RHA is a non-fully qualified/experienced as a developer/owner for LIHTCs, and is seeking to gain development/ownership experience by partnering with Pennrose.  RHA has provided affordable housing in the City of Roswell at Pelfrey Pines (existing 95 RAD units) for over 50-years.  By partnering with RHA, we are able to build RHA's capacity, both financial and experience.  RHA is the leader for providing affordable housing in the City of Roswell.  This capacity building partnership will enable RHA to continue to not only be a leader in affordable housing but to create additional affordable housing in a area with high barriers of entry.  This Application is submitted by Pennrose, LLC and Hunt PR Holdings LLC as a  3rd Application which involves a partnership with a non-fully qualified entity gaining development/ownership experience.  If selected for funding for this 3rd project, requesting waiver for credit cap per developer.  
</t>
  </si>
  <si>
    <t xml:space="preserve">HTH’s Executive Team has extensive experience in executing all types of relocation across the country including temporary, occupied/resident in-place, permanent relocation as well as consulting services.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a commitment to high-quality service to our clients and to the residents. We pride ourselves on being on schedule and having excellent communication and follow through on our work. </t>
  </si>
  <si>
    <t xml:space="preserve">Our environmental professional did discover both asbestos and lead as part of their testing. Lead, at levels of concern, was only found in a single unoccupied unit's window seal and is in the process of being remediated. Asbestos was discovered in insulations in attic spaces (where tenants cannot access). There is currently an O&amp;M manual in place for current operations and remediation of all asbestos and lead is included in our demolition plans for the new development. This project will comply with all applicable requirements and standards per the 2021 QAP and 2021 DCA Environmental Manual. Per the QAP, Site and Neighborhood Standards are only required for projects utilizing DCA awarded Federal Funds. Therefore, no HOME site and Neighborhood Standards review is required.  Our project does not include Wetlands or Floodplains so the 8-Step process is not requried.  </t>
  </si>
  <si>
    <t>The zoning confirmation letter included in Tab 10 states that the zoning of the project meets the requirements of the City of Roswell Zoning Ordinance and will not involve the development of prime or unique farmland.</t>
  </si>
  <si>
    <t xml:space="preserve">
Roswell Redevelopment Phase I
Overview
Pennrose, LLC (Pennrose) and The Roswell Housing Authority (RHA) are proud to partner on the development of Roswell Redevelopment Phase I. This represents a rare opportunity to create new affordable housing across multiple phases in one of the highest income municipalities, with substantial barriers to entry, in the State. The first phase of development will consist of 95 units targeting households at 30%, 60% and 80% AMI’s (utilizing income averaging). 
As an established affordable housing developer, Pennrose is excited to partner with RHA to help them build experience and capacity as a LIHTC developer. The Team will endeavor to reposition RHA’s existing affordable housing so that they will be well positioned to provide quality affordable housing for the City of Roswell for years to come.
RHA History 
RHA is one of few affordable housing providers in City of Roswell.  High barriers to entry, make affordable housing very challenging to develop in the City of Roswell.  The numerous amenities, both public and private, as well as high quality schools, make the City of Roswell one of Georgia’s most attractive Cities for families and seniors.  This transformative project will allow RHA to reposition their current assets to continue to provide quality affordable housing for families to be able to live in a City with the highest quality of schools for their children and numerous attractions and amenities.   
Existing Property 
The property consists of approximately 3.0 acres of the existing Pelfrey Pines footprint. The City of Roswell has lacked new affordable housing development.  The only affordable housing development in decades is the adjacent Veranda at Grove Way. The existing Pelfrey Pines RAD property is also located in a District with some of the highest performing schools in the State of Georgia.  RHAs existing RAD units are some of the only affordable housing options for families in the City of Roswell.   
The Roswell Housing Authority (RHA) converted the public housing project – Pelfrey Pines, to RAD in 2015. The original buildings were built in the 1950’s. During the RAD conversion, RHA did not complete a substantial renovation of the housing.  Although well maintained, the project is experiencing  large capital needs, to the detriment of RHA resources.  Pennrose is partnering with RHA to complete a transformative project to reposition their affordable housing existing 95 RAD units, and create a future additional phase of affordable development, so that RHA will continue to provide quality affordable housing for years to come in the City of Roswell.  
Phase I 
The overall master plan will have two (2) Phases of LIHTC Redevelopment. In Phase I, Pennrose and RHA will demolish 28 of its existing, dated units (6-buildings) and replace it with 95 newly constructed affordable housing units. This will allow RHA to complete a RAD transfer of assistance of its entire RAD portfolio to this phase. Once residence move into Phase I, additional land will be available for phase II. 
There will be one (1) mid-rise 4-story elevator building and two (2) 3-story garden apartment buildings to be constructed.  The units will be a mix of 49 one-bedroom, 29 two-bedroom and 17 three-bedroom units.  The project will utilize Income Averaging LIHTC model with a small percentage of the units at 80% AMI.  All units will be LIHTC Qualified and receive RAD Subsidy.
The property will feature a community room, gazebo, on-site laundry, arts and crafts room and a computer center. 
If the project is successful in securing 9% LIHTCs in the 2021 Round, the project team estimates to complete construction with the first two buildings and moving residents into the new project during 4th Quarter 2023.  
The project will enter into a long term ground lease with RHA for approximately 3 acres of land from RHA for $530,000. RHA will use these proceeds to pay off existing debt.  As demonstrated by our appraisal, the property is currently worth $2M.  This transaction will immediately increase the financial viability of RHA as well as create future residual value for RHA. 
Relocation 
As part of this redevelopment project, the development team will utilize a Transfer of Assistance process in the RAD program to transfer the existing RAD/PBRA assistance from the existing Pelfrey Pines 95-units to the newly developed 95 LIHTC units as proposed in this Application.  The project has an existing HAP Contract that will be transferred to the newly developed Project – Roswell Redevelopment Phase I.   As described in our Relocation Plan, we will minimize the temporary off-site relocation for households in the existing units.  All DCA required relocation items and the Relocation Plan are attached in TAB 25.
In order to minimize the number of households that will have to relocate (temporary) off-site, Phase I will only redevelop the existing structures at the 151 Oak Street site (Parcel A in attached survey).  This will allow no more than 28 households to be required to be relocated (temporary) off-site as part of the Phase I.  
Safe and thoughtful resident relocation is a priority for the Team and, for this reason, we have engaged HousingToHome as our relocation firm. HousingToHome (HTH) is a national relocation firm and their CoFounders have extensive experience in relocation. HTH’s Executive Team is adept in executing all types of relocation across the country including temporary, occupied/resident in-place, permanent relocation as well as consulting services. HTH is committed to working with the Team and every resident of the RHA properties, along with their families, to ensure excellent attention to details in terms of relocation.  
Capacity Building 
Phase I, in addition to creating quality affordable housing, will enable RHA to build capacity in multiple ways. First, in terms of development LIHTC experience. RHA will be an owner and development partner in this project, participating in all aspects of the development process.   
RHA will also be able to build their balance sheet/financial from this project. They will receive 35% of the development fee on this project, as well as share in Cash Flow.  At Closing, the ownership entity will make a pre-paid ground lease payment of $530,000.  RHA will use these funds to pay off existing debt on Pelfrey Pines (See attached Loan Balance). 
Last, by both relocating RHA’s current tenants in Phase I and paying off existing debt, phase I will unlock RHA’s remaining land for future phases. This will allow RHA to be better equipped  to continue to manage their existing portfolio as well as reposition the remainder of their Assets and provide additional quality affordable housing for years to come in the City of Roswell.  
Finally, Pennrose is waiving the option of Qualified Contract and granting RHA a Right of First Refusal (ROFR) under IRS minimum guidelines. If exercised after the compliance period, RHA will benefit from likely substantial asset appreciation, especially after current RAD contract expires in 2035. Currently, RAD rents are below achievable tax credit rents and substantially below market rate/unrestricted rents.  
Pennrose has experience with capacity building for other Housing Authorities, most notably in Georgia with the Griffin Housing Authority (GHA). In 2013 GHA embarked on an ambitious, multi-year plan to transform its aging, functionally obsolete public housing into vibrant, mixed income neighborhoods where residents of all ages and income levels could thrive. To help realize this goal, GHA partnered with Pennrose to initiate the redevelopment of Meriwether Homes. In the succeeding four years, GHA partnered with Pennrose and the development team was awarded three 9% applications representing approximately $40 million in tax credits and a sweeping redevelopment of 120 units of outdated public housing into a master-planned community with 234 mixed-income units. Through this process GHA has been able to develop their capacity as a DCA qualified Developer, Manager, and GP Owner and they are now focused on managing the renovation of the Fairmont and Nine Oaks rehabilitations and manage a portfolio of over 200 housing units. GHA has recently transitioned into the operation and management of the Housing Authority of the City of West Point, Georgia and is seeking to replicate many of the same innovative strategies and long-term public-private partnerships realized when partnered with Pennrose.
Pennrose is looking forward to partnering with RHA and achieving similar success as our Partnership with GHA. RHA has completed a LIHTC project – the Veranda at Grove Way. We look forward to working with RHA to reposition the next phase of their portfolio and working to build their experience and capacity as an affordable developer and owner. We look to further their success by leveraging Penrose’s experience and technical expertise to expand RHA’s capacity for future projects.
</t>
  </si>
  <si>
    <t>2021-018</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</si>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</sst>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8"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quotePrefix="1"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quotePrefix="1"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80" zoomScaleNormal="8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Roswell Redevelopment Phase I</v>
      </c>
    </row>
    <row r="3" spans="1:6" ht="15" customHeight="1">
      <c r="A3" s="761" t="str">
        <f>CONCATENATE('Part I-Project Information'!F39,", ", 'Part I-Project Information'!J40," County")</f>
        <v>Roswell, Fulton County</v>
      </c>
    </row>
    <row r="4" spans="1:6" ht="12" customHeight="1">
      <c r="A4" s="1197"/>
    </row>
    <row r="5" spans="1:6" ht="72" customHeight="1">
      <c r="A5" s="3129" t="s">
        <v>7019</v>
      </c>
      <c r="B5" s="3130" t="s">
        <v>4079</v>
      </c>
      <c r="C5" s="3130"/>
      <c r="D5" s="3130"/>
      <c r="E5" s="3130"/>
      <c r="F5" s="3130"/>
    </row>
    <row r="6" spans="1:6" ht="6.6" customHeight="1">
      <c r="A6" s="3129"/>
      <c r="B6" s="3130"/>
      <c r="C6" s="3130"/>
      <c r="D6" s="3130"/>
      <c r="E6" s="3130"/>
      <c r="F6" s="3130"/>
    </row>
    <row r="7" spans="1:6" ht="72" customHeight="1">
      <c r="A7" s="3129"/>
      <c r="B7" s="3130"/>
      <c r="C7" s="3130"/>
      <c r="D7" s="3130"/>
      <c r="E7" s="3130"/>
      <c r="F7" s="3130"/>
    </row>
    <row r="8" spans="1:6" ht="6.6" customHeight="1">
      <c r="A8" s="3129"/>
    </row>
    <row r="9" spans="1:6" ht="72" customHeight="1">
      <c r="A9" s="3129"/>
    </row>
    <row r="10" spans="1:6" ht="6.6" customHeight="1">
      <c r="A10" s="3129"/>
    </row>
    <row r="11" spans="1:6" ht="72" customHeight="1">
      <c r="A11" s="3129"/>
    </row>
    <row r="12" spans="1:6" ht="6.6" customHeight="1">
      <c r="A12" s="3129"/>
    </row>
    <row r="13" spans="1:6" ht="72" customHeight="1">
      <c r="A13" s="3129"/>
    </row>
    <row r="14" spans="1:6" ht="6.6" customHeight="1">
      <c r="A14" s="3129"/>
    </row>
    <row r="15" spans="1:6" ht="72" customHeight="1">
      <c r="A15" s="3129"/>
    </row>
    <row r="16" spans="1:6" ht="6.6" customHeight="1">
      <c r="A16" s="3129"/>
    </row>
    <row r="17" spans="1:1" ht="72" customHeight="1">
      <c r="A17" s="3129"/>
    </row>
    <row r="18" spans="1:1" ht="6.6" customHeight="1">
      <c r="A18" s="3129"/>
    </row>
    <row r="19" spans="1:1" ht="72" customHeight="1">
      <c r="A19" s="3129"/>
    </row>
    <row r="20" spans="1:1" ht="6.6" customHeight="1">
      <c r="A20" s="3129"/>
    </row>
    <row r="21" spans="1:1" ht="72" customHeight="1">
      <c r="A21" s="3129"/>
    </row>
    <row r="22" spans="1:1" ht="6.6" customHeight="1">
      <c r="A22" s="3129"/>
    </row>
    <row r="23" spans="1:1" ht="228.95" customHeight="1">
      <c r="A23" s="3129"/>
    </row>
  </sheetData>
  <sheetProtection algorithmName="SHA-512" hashValue="ylD2/Ipm9Yo8kLvGioCub1550lSunu2Z0Pau9XaoEso4ENDLpd+5AcRugWvmB/HX8RzW36vBSYiwWmkSA2E18Q==" saltValue="8+D0pYF/zjZ6Odif0I5Wl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5"/>
    <col min="381" max="493" width="9.140625" style="146"/>
    <col min="494" max="16384" width="9.140625" style="82"/>
  </cols>
  <sheetData>
    <row r="1" spans="1:493" s="2805" customFormat="1" hidden="1">
      <c r="B1" s="2805" t="s">
        <v>6704</v>
      </c>
      <c r="C1" s="2805" t="s">
        <v>163</v>
      </c>
      <c r="D1" s="2805" t="s">
        <v>165</v>
      </c>
      <c r="E1" s="2805" t="s">
        <v>6705</v>
      </c>
      <c r="F1" s="2805" t="s">
        <v>6706</v>
      </c>
      <c r="G1" s="2805" t="s">
        <v>6707</v>
      </c>
      <c r="H1" s="2805" t="s">
        <v>6708</v>
      </c>
      <c r="I1" s="2805" t="s">
        <v>6709</v>
      </c>
      <c r="J1" s="2805" t="s">
        <v>6710</v>
      </c>
      <c r="K1" s="2805" t="s">
        <v>3256</v>
      </c>
      <c r="L1" s="2805" t="s">
        <v>6711</v>
      </c>
      <c r="M1" s="2805" t="s">
        <v>6712</v>
      </c>
      <c r="N1" s="2805" t="s">
        <v>6713</v>
      </c>
      <c r="O1" s="2805" t="s">
        <v>6714</v>
      </c>
      <c r="P1" s="2805" t="s">
        <v>367</v>
      </c>
      <c r="Q1" s="2805" t="s">
        <v>6715</v>
      </c>
      <c r="JW1" s="2846"/>
      <c r="KB1" s="2846"/>
      <c r="KG1" s="2846"/>
      <c r="KL1" s="2846"/>
      <c r="KM1" s="2846"/>
      <c r="KN1" s="2846"/>
      <c r="KO1" s="2846"/>
      <c r="KP1" s="2846"/>
      <c r="KQ1" s="2846"/>
      <c r="KR1" s="2846"/>
      <c r="KS1" s="2846"/>
      <c r="KT1" s="2846"/>
      <c r="KU1" s="2846"/>
      <c r="KV1" s="2846"/>
      <c r="KW1" s="2846"/>
      <c r="KX1" s="2846"/>
      <c r="KY1" s="2846"/>
      <c r="KZ1" s="2846"/>
      <c r="LA1" s="2846"/>
      <c r="LB1" s="2846"/>
      <c r="LC1" s="2846"/>
      <c r="LD1" s="2846"/>
      <c r="LE1" s="2846"/>
      <c r="LF1" s="2846"/>
      <c r="LG1" s="2846"/>
      <c r="LN1" s="2847"/>
      <c r="MD1" s="2847"/>
      <c r="ME1" s="2847"/>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2021-018 Roswell Redevelopment Phase I, Roswell, Fulton County</v>
      </c>
      <c r="B2" s="3927"/>
      <c r="C2" s="3927"/>
      <c r="D2" s="3927"/>
      <c r="E2" s="3927"/>
      <c r="F2" s="3927"/>
      <c r="G2" s="3927"/>
      <c r="H2" s="3927"/>
      <c r="I2" s="3927"/>
      <c r="J2" s="3927"/>
      <c r="K2" s="3927"/>
      <c r="L2" s="3927"/>
      <c r="M2" s="3927"/>
      <c r="N2" s="3927"/>
      <c r="O2" s="3927"/>
      <c r="P2" s="3927"/>
      <c r="Q2" s="3928"/>
      <c r="T2" s="1499" t="str">
        <f>A2</f>
        <v>PART SIX - PROJECTED REVENUES &amp; EXPENSES  -  2021-018 Roswell Redevelopment Phase I, Roswell, Fulton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8"/>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931" t="str">
        <f>'Part I-Project Information'!$O$41</f>
        <v>Atlanta-Sandy Springs-Marietta</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3165</v>
      </c>
      <c r="MG4" s="3827" t="s">
        <v>3166</v>
      </c>
      <c r="MH4" s="3827" t="s">
        <v>3167</v>
      </c>
      <c r="MI4" s="3827" t="s">
        <v>3168</v>
      </c>
      <c r="MJ4" s="382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8"/>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3332</v>
      </c>
      <c r="R5" s="2651"/>
      <c r="S5" s="405"/>
      <c r="T5" s="405"/>
      <c r="U5" s="405"/>
      <c r="W5" s="406"/>
      <c r="X5" s="3827" t="s">
        <v>3834</v>
      </c>
      <c r="Y5" s="3827" t="s">
        <v>3835</v>
      </c>
      <c r="Z5" s="3827" t="s">
        <v>3836</v>
      </c>
      <c r="AA5" s="3827" t="s">
        <v>3837</v>
      </c>
      <c r="AB5" s="3827" t="s">
        <v>3838</v>
      </c>
      <c r="AC5" s="3827" t="s">
        <v>3839</v>
      </c>
      <c r="AD5" s="3827" t="s">
        <v>3840</v>
      </c>
      <c r="AE5" s="3827" t="s">
        <v>3841</v>
      </c>
      <c r="AF5" s="3827" t="s">
        <v>3842</v>
      </c>
      <c r="AG5" s="3827" t="s">
        <v>3843</v>
      </c>
      <c r="AH5" s="3827" t="s">
        <v>885</v>
      </c>
      <c r="AI5" s="3827" t="s">
        <v>726</v>
      </c>
      <c r="AJ5" s="3827" t="s">
        <v>727</v>
      </c>
      <c r="AK5" s="3827" t="s">
        <v>728</v>
      </c>
      <c r="AL5" s="3827" t="s">
        <v>729</v>
      </c>
      <c r="AM5" s="3827" t="s">
        <v>886</v>
      </c>
      <c r="AN5" s="3827" t="s">
        <v>2206</v>
      </c>
      <c r="AO5" s="3827" t="s">
        <v>2207</v>
      </c>
      <c r="AP5" s="3827" t="s">
        <v>2208</v>
      </c>
      <c r="AQ5" s="3827" t="s">
        <v>2209</v>
      </c>
      <c r="AR5" s="3827" t="s">
        <v>3845</v>
      </c>
      <c r="AS5" s="3827" t="s">
        <v>3846</v>
      </c>
      <c r="AT5" s="3827" t="s">
        <v>3847</v>
      </c>
      <c r="AU5" s="3827" t="s">
        <v>3848</v>
      </c>
      <c r="AV5" s="3827" t="s">
        <v>3844</v>
      </c>
      <c r="AW5" s="3827" t="s">
        <v>887</v>
      </c>
      <c r="AX5" s="3827" t="s">
        <v>2210</v>
      </c>
      <c r="AY5" s="3827" t="s">
        <v>2211</v>
      </c>
      <c r="AZ5" s="3827" t="s">
        <v>2212</v>
      </c>
      <c r="BA5" s="3827" t="s">
        <v>2213</v>
      </c>
      <c r="BB5" s="3827" t="s">
        <v>3849</v>
      </c>
      <c r="BC5" s="3827" t="s">
        <v>3850</v>
      </c>
      <c r="BD5" s="3827" t="s">
        <v>3851</v>
      </c>
      <c r="BE5" s="3827" t="s">
        <v>3852</v>
      </c>
      <c r="BF5" s="3827" t="s">
        <v>3853</v>
      </c>
      <c r="BG5" s="3827" t="s">
        <v>122</v>
      </c>
      <c r="BH5" s="3827" t="s">
        <v>2214</v>
      </c>
      <c r="BI5" s="3827" t="s">
        <v>2215</v>
      </c>
      <c r="BJ5" s="3827" t="s">
        <v>2216</v>
      </c>
      <c r="BK5" s="3827" t="s">
        <v>1106</v>
      </c>
      <c r="BL5" s="3827" t="s">
        <v>3854</v>
      </c>
      <c r="BM5" s="3827" t="s">
        <v>3855</v>
      </c>
      <c r="BN5" s="3827" t="s">
        <v>3856</v>
      </c>
      <c r="BO5" s="3827" t="s">
        <v>3857</v>
      </c>
      <c r="BP5" s="3827" t="s">
        <v>3858</v>
      </c>
      <c r="BQ5" s="3827" t="s">
        <v>529</v>
      </c>
      <c r="BR5" s="3827" t="s">
        <v>530</v>
      </c>
      <c r="BS5" s="3827" t="s">
        <v>548</v>
      </c>
      <c r="BT5" s="3827" t="s">
        <v>549</v>
      </c>
      <c r="BU5" s="3827" t="s">
        <v>550</v>
      </c>
      <c r="BV5" s="3827" t="s">
        <v>3859</v>
      </c>
      <c r="BW5" s="3827" t="s">
        <v>3860</v>
      </c>
      <c r="BX5" s="3827" t="s">
        <v>3861</v>
      </c>
      <c r="BY5" s="3827" t="s">
        <v>3862</v>
      </c>
      <c r="BZ5" s="3827" t="s">
        <v>3863</v>
      </c>
      <c r="CA5" s="3827" t="s">
        <v>551</v>
      </c>
      <c r="CB5" s="3827" t="s">
        <v>552</v>
      </c>
      <c r="CC5" s="3827" t="s">
        <v>553</v>
      </c>
      <c r="CD5" s="3827" t="s">
        <v>554</v>
      </c>
      <c r="CE5" s="3827" t="s">
        <v>555</v>
      </c>
      <c r="CF5" s="3827" t="s">
        <v>556</v>
      </c>
      <c r="CG5" s="3827" t="s">
        <v>557</v>
      </c>
      <c r="CH5" s="3827" t="s">
        <v>896</v>
      </c>
      <c r="CI5" s="3827" t="s">
        <v>897</v>
      </c>
      <c r="CJ5" s="3827" t="s">
        <v>898</v>
      </c>
      <c r="CK5" s="3827" t="s">
        <v>3869</v>
      </c>
      <c r="CL5" s="3827" t="s">
        <v>3870</v>
      </c>
      <c r="CM5" s="3827" t="s">
        <v>3871</v>
      </c>
      <c r="CN5" s="3827" t="s">
        <v>3872</v>
      </c>
      <c r="CO5" s="3827" t="s">
        <v>3873</v>
      </c>
      <c r="CP5" s="3827" t="s">
        <v>3864</v>
      </c>
      <c r="CQ5" s="3827" t="s">
        <v>3865</v>
      </c>
      <c r="CR5" s="3827" t="s">
        <v>3866</v>
      </c>
      <c r="CS5" s="3827" t="s">
        <v>3867</v>
      </c>
      <c r="CT5" s="3827" t="s">
        <v>3868</v>
      </c>
      <c r="CU5" s="3827" t="s">
        <v>3874</v>
      </c>
      <c r="CV5" s="3827" t="s">
        <v>3875</v>
      </c>
      <c r="CW5" s="3827" t="s">
        <v>3876</v>
      </c>
      <c r="CX5" s="3827" t="s">
        <v>3877</v>
      </c>
      <c r="CY5" s="3827" t="s">
        <v>3878</v>
      </c>
      <c r="CZ5" s="3827" t="s">
        <v>474</v>
      </c>
      <c r="DA5" s="3827" t="s">
        <v>475</v>
      </c>
      <c r="DB5" s="3827" t="s">
        <v>476</v>
      </c>
      <c r="DC5" s="3827" t="s">
        <v>477</v>
      </c>
      <c r="DD5" s="3827" t="s">
        <v>478</v>
      </c>
      <c r="DE5" s="3827" t="s">
        <v>3879</v>
      </c>
      <c r="DF5" s="3827" t="s">
        <v>3880</v>
      </c>
      <c r="DG5" s="3827" t="s">
        <v>3881</v>
      </c>
      <c r="DH5" s="3827" t="s">
        <v>3882</v>
      </c>
      <c r="DI5" s="3827" t="s">
        <v>3883</v>
      </c>
      <c r="DJ5" s="3827" t="s">
        <v>846</v>
      </c>
      <c r="DK5" s="3827" t="s">
        <v>847</v>
      </c>
      <c r="DL5" s="3827" t="s">
        <v>848</v>
      </c>
      <c r="DM5" s="3827" t="s">
        <v>849</v>
      </c>
      <c r="DN5" s="3827" t="s">
        <v>850</v>
      </c>
      <c r="DO5" s="3827" t="s">
        <v>851</v>
      </c>
      <c r="DP5" s="3827" t="s">
        <v>852</v>
      </c>
      <c r="DQ5" s="3827" t="s">
        <v>853</v>
      </c>
      <c r="DR5" s="3827" t="s">
        <v>854</v>
      </c>
      <c r="DS5" s="3827" t="s">
        <v>855</v>
      </c>
      <c r="DT5" s="3827" t="s">
        <v>3884</v>
      </c>
      <c r="DU5" s="3827" t="s">
        <v>3885</v>
      </c>
      <c r="DV5" s="3827" t="s">
        <v>3886</v>
      </c>
      <c r="DW5" s="3827" t="s">
        <v>3887</v>
      </c>
      <c r="DX5" s="3827" t="s">
        <v>3888</v>
      </c>
      <c r="DY5" s="3827" t="s">
        <v>3889</v>
      </c>
      <c r="DZ5" s="3827" t="s">
        <v>3890</v>
      </c>
      <c r="EA5" s="3827" t="s">
        <v>3891</v>
      </c>
      <c r="EB5" s="3827" t="s">
        <v>3892</v>
      </c>
      <c r="EC5" s="3827" t="s">
        <v>3893</v>
      </c>
      <c r="ED5" s="3827" t="s">
        <v>2319</v>
      </c>
      <c r="EE5" s="3827" t="s">
        <v>2320</v>
      </c>
      <c r="EF5" s="3827" t="s">
        <v>2321</v>
      </c>
      <c r="EG5" s="3827" t="s">
        <v>2322</v>
      </c>
      <c r="EH5" s="3827" t="s">
        <v>2323</v>
      </c>
      <c r="EI5" s="3827" t="s">
        <v>3894</v>
      </c>
      <c r="EJ5" s="3827" t="s">
        <v>3895</v>
      </c>
      <c r="EK5" s="3827" t="s">
        <v>3896</v>
      </c>
      <c r="EL5" s="3827" t="s">
        <v>3897</v>
      </c>
      <c r="EM5" s="3827" t="s">
        <v>3898</v>
      </c>
      <c r="EN5" s="3827" t="s">
        <v>3899</v>
      </c>
      <c r="EO5" s="3827" t="s">
        <v>3900</v>
      </c>
      <c r="EP5" s="3827" t="s">
        <v>3901</v>
      </c>
      <c r="EQ5" s="3827" t="s">
        <v>3902</v>
      </c>
      <c r="ER5" s="3827" t="s">
        <v>3903</v>
      </c>
      <c r="ES5" s="3827" t="s">
        <v>110</v>
      </c>
      <c r="ET5" s="3827" t="s">
        <v>1109</v>
      </c>
      <c r="EU5" s="3827" t="s">
        <v>1110</v>
      </c>
      <c r="EV5" s="3827" t="s">
        <v>1167</v>
      </c>
      <c r="EW5" s="3827" t="s">
        <v>1168</v>
      </c>
      <c r="EX5" s="3827" t="s">
        <v>125</v>
      </c>
      <c r="EY5" s="3827" t="s">
        <v>1169</v>
      </c>
      <c r="EZ5" s="3827" t="s">
        <v>1170</v>
      </c>
      <c r="FA5" s="3827" t="s">
        <v>1171</v>
      </c>
      <c r="FB5" s="3827" t="s">
        <v>1172</v>
      </c>
      <c r="FC5" s="3827" t="s">
        <v>3904</v>
      </c>
      <c r="FD5" s="3827" t="s">
        <v>3905</v>
      </c>
      <c r="FE5" s="3827" t="s">
        <v>3906</v>
      </c>
      <c r="FF5" s="3827" t="s">
        <v>3907</v>
      </c>
      <c r="FG5" s="3827" t="s">
        <v>3908</v>
      </c>
      <c r="FH5" s="3827" t="s">
        <v>124</v>
      </c>
      <c r="FI5" s="3827" t="s">
        <v>877</v>
      </c>
      <c r="FJ5" s="3827" t="s">
        <v>878</v>
      </c>
      <c r="FK5" s="3827" t="s">
        <v>879</v>
      </c>
      <c r="FL5" s="3827" t="s">
        <v>880</v>
      </c>
      <c r="FM5" s="3827" t="s">
        <v>3909</v>
      </c>
      <c r="FN5" s="3827" t="s">
        <v>3910</v>
      </c>
      <c r="FO5" s="3827" t="s">
        <v>3911</v>
      </c>
      <c r="FP5" s="3827" t="s">
        <v>3912</v>
      </c>
      <c r="FQ5" s="3827" t="s">
        <v>3913</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8"/>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6308</v>
      </c>
      <c r="D6" s="1585"/>
      <c r="E6" s="1585"/>
      <c r="F6" s="1585"/>
      <c r="G6" s="2849" t="s">
        <v>193</v>
      </c>
      <c r="H6" s="3929" t="s">
        <v>6310</v>
      </c>
      <c r="I6" s="3930"/>
      <c r="J6" s="3930"/>
      <c r="K6" s="1401" t="s">
        <v>3256</v>
      </c>
      <c r="L6" s="3829" t="str">
        <f>'Part I-Project Information'!$B$7</f>
        <v>2021 Core App
May 10 Rev</v>
      </c>
      <c r="M6" s="3829"/>
      <c r="N6" s="3829"/>
      <c r="O6" s="1784" t="s">
        <v>6286</v>
      </c>
      <c r="P6" s="2850">
        <v>86200</v>
      </c>
      <c r="Q6" s="3877"/>
      <c r="R6" s="2651"/>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6584</v>
      </c>
      <c r="MQ6" s="3827" t="s">
        <v>6585</v>
      </c>
      <c r="MR6" s="3827" t="s">
        <v>6586</v>
      </c>
      <c r="MS6" s="3827" t="s">
        <v>6587</v>
      </c>
      <c r="MT6" s="3827" t="s">
        <v>6588</v>
      </c>
      <c r="MU6" s="93"/>
      <c r="MV6" s="93"/>
      <c r="MW6" s="93"/>
      <c r="MX6" s="93"/>
      <c r="MY6" s="93"/>
      <c r="MZ6" s="93"/>
      <c r="NA6" s="93"/>
      <c r="NB6" s="93"/>
      <c r="NC6" s="93"/>
      <c r="ND6" s="93"/>
      <c r="NE6" s="93"/>
      <c r="NF6" s="93"/>
      <c r="NG6" s="93"/>
      <c r="NH6" s="93"/>
      <c r="NI6" s="93"/>
      <c r="NJ6" s="93"/>
      <c r="NK6" s="93"/>
      <c r="NL6" s="93"/>
      <c r="NM6" s="93"/>
      <c r="NN6" s="93"/>
      <c r="NO6" s="93"/>
      <c r="NP6" s="2848"/>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6309</v>
      </c>
      <c r="E7" s="4"/>
      <c r="G7" s="2851" t="s">
        <v>2769</v>
      </c>
      <c r="I7" s="3856" t="s">
        <v>4276</v>
      </c>
      <c r="J7" s="1401" t="s">
        <v>765</v>
      </c>
      <c r="K7" s="1401" t="s">
        <v>3306</v>
      </c>
      <c r="L7" s="3829"/>
      <c r="M7" s="3829"/>
      <c r="N7" s="3829"/>
      <c r="O7" s="1785" t="s">
        <v>6285</v>
      </c>
      <c r="P7" s="2852">
        <v>44287</v>
      </c>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48"/>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47" t="s">
        <v>3916</v>
      </c>
      <c r="C8" s="1"/>
      <c r="E8" s="1"/>
      <c r="F8" s="1"/>
      <c r="I8" s="3856"/>
      <c r="J8" s="1401" t="s">
        <v>766</v>
      </c>
      <c r="K8" s="1401" t="s">
        <v>3307</v>
      </c>
      <c r="L8" s="762"/>
      <c r="M8" s="762"/>
      <c r="N8" s="1783" t="s">
        <v>6804</v>
      </c>
      <c r="O8" s="3858" t="s">
        <v>6883</v>
      </c>
      <c r="P8" s="3859"/>
      <c r="Q8" s="3877"/>
      <c r="R8" s="763"/>
      <c r="S8" s="767"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48"/>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3917</v>
      </c>
      <c r="C9" s="1401" t="s">
        <v>164</v>
      </c>
      <c r="D9" s="1401" t="s">
        <v>519</v>
      </c>
      <c r="E9" s="1401" t="s">
        <v>1417</v>
      </c>
      <c r="F9" s="1401" t="s">
        <v>1417</v>
      </c>
      <c r="G9" s="3856" t="s">
        <v>6305</v>
      </c>
      <c r="H9" s="2651" t="s">
        <v>3440</v>
      </c>
      <c r="I9" s="3856"/>
      <c r="J9" s="3852" t="s">
        <v>6296</v>
      </c>
      <c r="K9" s="1401" t="s">
        <v>2296</v>
      </c>
      <c r="L9" s="3861" t="s">
        <v>138</v>
      </c>
      <c r="M9" s="3862"/>
      <c r="N9" s="1401" t="s">
        <v>2262</v>
      </c>
      <c r="O9" s="1401" t="s">
        <v>6807</v>
      </c>
      <c r="P9" s="3854" t="s">
        <v>6532</v>
      </c>
      <c r="Q9" s="3877"/>
      <c r="R9" s="1401" t="s">
        <v>2543</v>
      </c>
      <c r="S9" s="1401"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3120</v>
      </c>
      <c r="IK9" s="3827" t="s">
        <v>3120</v>
      </c>
      <c r="IL9" s="3827" t="s">
        <v>3120</v>
      </c>
      <c r="IM9" s="3827" t="s">
        <v>3120</v>
      </c>
      <c r="IN9" s="3827" t="s">
        <v>3120</v>
      </c>
      <c r="IO9" s="1812" t="s">
        <v>539</v>
      </c>
      <c r="IP9" s="1812" t="s">
        <v>2329</v>
      </c>
      <c r="IQ9" s="1812" t="s">
        <v>2330</v>
      </c>
      <c r="IR9" s="1812" t="s">
        <v>2331</v>
      </c>
      <c r="IS9" s="1812" t="s">
        <v>2332</v>
      </c>
      <c r="IT9" s="1812" t="s">
        <v>539</v>
      </c>
      <c r="IU9" s="1812" t="s">
        <v>2329</v>
      </c>
      <c r="IV9" s="1812" t="s">
        <v>2330</v>
      </c>
      <c r="IW9" s="1812" t="s">
        <v>2331</v>
      </c>
      <c r="IX9" s="1812" t="s">
        <v>2332</v>
      </c>
      <c r="IY9" s="3827" t="s">
        <v>6589</v>
      </c>
      <c r="IZ9" s="3827" t="s">
        <v>6589</v>
      </c>
      <c r="JA9" s="3827" t="s">
        <v>6589</v>
      </c>
      <c r="JB9" s="3827" t="s">
        <v>6589</v>
      </c>
      <c r="JC9" s="3827" t="s">
        <v>6589</v>
      </c>
      <c r="JD9" s="3827" t="s">
        <v>6590</v>
      </c>
      <c r="JE9" s="3827" t="s">
        <v>6590</v>
      </c>
      <c r="JF9" s="3827" t="s">
        <v>6590</v>
      </c>
      <c r="JG9" s="3827" t="s">
        <v>6590</v>
      </c>
      <c r="JH9" s="3827" t="s">
        <v>6590</v>
      </c>
      <c r="JI9" s="3827" t="s">
        <v>6592</v>
      </c>
      <c r="JJ9" s="3827" t="s">
        <v>6592</v>
      </c>
      <c r="JK9" s="3827" t="s">
        <v>6592</v>
      </c>
      <c r="JL9" s="3827" t="s">
        <v>6592</v>
      </c>
      <c r="JM9" s="3827" t="s">
        <v>6592</v>
      </c>
      <c r="JN9" s="3827" t="s">
        <v>6593</v>
      </c>
      <c r="JO9" s="3827" t="s">
        <v>6593</v>
      </c>
      <c r="JP9" s="3827" t="s">
        <v>6593</v>
      </c>
      <c r="JQ9" s="3827" t="s">
        <v>6593</v>
      </c>
      <c r="JR9" s="3827" t="s">
        <v>6593</v>
      </c>
      <c r="JS9" s="3827" t="s">
        <v>6594</v>
      </c>
      <c r="JT9" s="3827" t="s">
        <v>6594</v>
      </c>
      <c r="JU9" s="3827" t="s">
        <v>6594</v>
      </c>
      <c r="JV9" s="3827" t="s">
        <v>6594</v>
      </c>
      <c r="JW9" s="3827" t="s">
        <v>6594</v>
      </c>
      <c r="JX9" s="3827" t="s">
        <v>6808</v>
      </c>
      <c r="JY9" s="3827" t="s">
        <v>6808</v>
      </c>
      <c r="JZ9" s="3827" t="s">
        <v>6808</v>
      </c>
      <c r="KA9" s="3827" t="s">
        <v>6808</v>
      </c>
      <c r="KB9" s="3827" t="s">
        <v>6808</v>
      </c>
      <c r="KC9" s="3827" t="s">
        <v>6825</v>
      </c>
      <c r="KD9" s="3827" t="s">
        <v>6825</v>
      </c>
      <c r="KE9" s="3827" t="s">
        <v>6825</v>
      </c>
      <c r="KF9" s="3827" t="s">
        <v>6825</v>
      </c>
      <c r="KG9" s="3827" t="s">
        <v>6825</v>
      </c>
      <c r="KH9" s="3827" t="s">
        <v>6826</v>
      </c>
      <c r="KI9" s="3827" t="s">
        <v>6826</v>
      </c>
      <c r="KJ9" s="3827" t="s">
        <v>6826</v>
      </c>
      <c r="KK9" s="3827" t="s">
        <v>6826</v>
      </c>
      <c r="KL9" s="3827" t="s">
        <v>6826</v>
      </c>
      <c r="KM9" s="3827" t="s">
        <v>6596</v>
      </c>
      <c r="KN9" s="3827" t="s">
        <v>6596</v>
      </c>
      <c r="KO9" s="3827" t="s">
        <v>6596</v>
      </c>
      <c r="KP9" s="3827" t="s">
        <v>6596</v>
      </c>
      <c r="KQ9" s="3827" t="s">
        <v>6596</v>
      </c>
      <c r="KR9" s="3827" t="s">
        <v>6809</v>
      </c>
      <c r="KS9" s="3827" t="s">
        <v>6809</v>
      </c>
      <c r="KT9" s="3827" t="s">
        <v>6809</v>
      </c>
      <c r="KU9" s="3827" t="s">
        <v>6809</v>
      </c>
      <c r="KV9" s="3827" t="s">
        <v>6809</v>
      </c>
      <c r="KW9" s="3827" t="s">
        <v>6827</v>
      </c>
      <c r="KX9" s="3827" t="s">
        <v>6827</v>
      </c>
      <c r="KY9" s="3827" t="s">
        <v>6827</v>
      </c>
      <c r="KZ9" s="3827" t="s">
        <v>6827</v>
      </c>
      <c r="LA9" s="3827" t="s">
        <v>6827</v>
      </c>
      <c r="LB9" s="3827" t="s">
        <v>6828</v>
      </c>
      <c r="LC9" s="3827" t="s">
        <v>6828</v>
      </c>
      <c r="LD9" s="3827" t="s">
        <v>6828</v>
      </c>
      <c r="LE9" s="3827" t="s">
        <v>6828</v>
      </c>
      <c r="LF9" s="3827" t="s">
        <v>6828</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3"/>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4124</v>
      </c>
      <c r="C10" s="1401" t="s">
        <v>163</v>
      </c>
      <c r="D10" s="1401" t="s">
        <v>165</v>
      </c>
      <c r="E10" s="1401" t="s">
        <v>1418</v>
      </c>
      <c r="F10" s="1401" t="s">
        <v>1231</v>
      </c>
      <c r="G10" s="3857"/>
      <c r="H10" s="1401" t="s">
        <v>6306</v>
      </c>
      <c r="I10" s="3857"/>
      <c r="J10" s="3853"/>
      <c r="K10" s="431" t="s">
        <v>338</v>
      </c>
      <c r="L10" s="1401" t="s">
        <v>1469</v>
      </c>
      <c r="M10" s="1401" t="s">
        <v>513</v>
      </c>
      <c r="N10" s="1401" t="s">
        <v>1417</v>
      </c>
      <c r="O10" s="1401" t="s">
        <v>6824</v>
      </c>
      <c r="P10" s="3855"/>
      <c r="Q10" s="3878"/>
      <c r="R10" s="1401" t="s">
        <v>1419</v>
      </c>
      <c r="S10" s="1401"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3121</v>
      </c>
      <c r="IU10" s="1812" t="s">
        <v>3121</v>
      </c>
      <c r="IV10" s="1812" t="s">
        <v>3121</v>
      </c>
      <c r="IW10" s="1812" t="s">
        <v>3121</v>
      </c>
      <c r="IX10" s="1812"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3"/>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4" t="s">
        <v>3827</v>
      </c>
      <c r="C11" s="2855"/>
      <c r="D11" s="2856"/>
      <c r="E11" s="2857"/>
      <c r="F11" s="2857"/>
      <c r="G11" s="2857"/>
      <c r="H11" s="2857"/>
      <c r="I11" s="2858"/>
      <c r="J11" s="2859"/>
      <c r="K11" s="2860"/>
      <c r="L11" s="536">
        <f t="shared" ref="L11:L48" si="0">MAX(0,H11-I11-J11)</f>
        <v>0</v>
      </c>
      <c r="M11" s="536">
        <f t="shared" ref="M11:M48" si="1">MAX(0,E11*L11)</f>
        <v>0</v>
      </c>
      <c r="N11" s="2861"/>
      <c r="O11" s="2862"/>
      <c r="P11" s="2861"/>
      <c r="Q11" s="2863"/>
      <c r="R11" s="2864"/>
      <c r="S11" s="2865"/>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5" t="s">
        <v>6716</v>
      </c>
    </row>
    <row r="12" spans="1:493" ht="13.9" customHeight="1">
      <c r="A12" s="108" t="str">
        <f t="shared" ref="A12:A48" si="327">IF(AND(E12&gt;0,OR(B12="",C12="",D12="",F12="",G12="", H12="",I12="",N12="",O12="",P12="",Q12="")),1,"")</f>
        <v/>
      </c>
      <c r="B12" s="2866" t="s">
        <v>3827</v>
      </c>
      <c r="C12" s="2867"/>
      <c r="D12" s="2868"/>
      <c r="E12" s="2869"/>
      <c r="F12" s="2869"/>
      <c r="G12" s="2869"/>
      <c r="H12" s="2869"/>
      <c r="I12" s="2869"/>
      <c r="J12" s="2870"/>
      <c r="K12" s="2871"/>
      <c r="L12" s="537">
        <f t="shared" si="0"/>
        <v>0</v>
      </c>
      <c r="M12" s="537">
        <f t="shared" si="1"/>
        <v>0</v>
      </c>
      <c r="N12" s="2715"/>
      <c r="O12" s="2872"/>
      <c r="P12" s="2715"/>
      <c r="Q12" s="2873"/>
      <c r="R12" s="2874"/>
      <c r="S12" s="2875"/>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5" t="s">
        <v>6717</v>
      </c>
    </row>
    <row r="13" spans="1:493" ht="13.9" customHeight="1">
      <c r="A13" s="108" t="str">
        <f t="shared" si="327"/>
        <v/>
      </c>
      <c r="B13" s="2866" t="s">
        <v>292</v>
      </c>
      <c r="C13" s="2867"/>
      <c r="D13" s="2868"/>
      <c r="E13" s="2869"/>
      <c r="F13" s="2869"/>
      <c r="G13" s="2869"/>
      <c r="H13" s="2869"/>
      <c r="I13" s="2869"/>
      <c r="J13" s="2870"/>
      <c r="K13" s="2871"/>
      <c r="L13" s="537">
        <f t="shared" si="0"/>
        <v>0</v>
      </c>
      <c r="M13" s="537">
        <f t="shared" si="1"/>
        <v>0</v>
      </c>
      <c r="N13" s="2715"/>
      <c r="O13" s="2872"/>
      <c r="P13" s="2715"/>
      <c r="Q13" s="2873"/>
      <c r="R13" s="2874"/>
      <c r="S13" s="2875"/>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5" t="s">
        <v>6718</v>
      </c>
    </row>
    <row r="14" spans="1:493" ht="13.9" customHeight="1">
      <c r="A14" s="108" t="str">
        <f t="shared" si="327"/>
        <v/>
      </c>
      <c r="B14" s="2866" t="s">
        <v>292</v>
      </c>
      <c r="C14" s="2867"/>
      <c r="D14" s="2868"/>
      <c r="E14" s="2869"/>
      <c r="F14" s="2869"/>
      <c r="G14" s="2869"/>
      <c r="H14" s="2869"/>
      <c r="I14" s="2869"/>
      <c r="J14" s="2870"/>
      <c r="K14" s="2871"/>
      <c r="L14" s="537">
        <f t="shared" si="0"/>
        <v>0</v>
      </c>
      <c r="M14" s="537">
        <f t="shared" si="1"/>
        <v>0</v>
      </c>
      <c r="N14" s="2715"/>
      <c r="O14" s="2872"/>
      <c r="P14" s="2715"/>
      <c r="Q14" s="2873"/>
      <c r="R14" s="2874"/>
      <c r="S14" s="2875"/>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5" t="s">
        <v>6719</v>
      </c>
    </row>
    <row r="15" spans="1:493" ht="13.9" customHeight="1">
      <c r="A15" s="108" t="str">
        <f t="shared" si="327"/>
        <v/>
      </c>
      <c r="B15" s="2866" t="s">
        <v>292</v>
      </c>
      <c r="C15" s="2867"/>
      <c r="D15" s="2868"/>
      <c r="E15" s="2869"/>
      <c r="F15" s="2869"/>
      <c r="G15" s="2869"/>
      <c r="H15" s="2869"/>
      <c r="I15" s="2869"/>
      <c r="J15" s="2870"/>
      <c r="K15" s="2871"/>
      <c r="L15" s="537">
        <f t="shared" si="0"/>
        <v>0</v>
      </c>
      <c r="M15" s="537">
        <f t="shared" si="1"/>
        <v>0</v>
      </c>
      <c r="N15" s="2715"/>
      <c r="O15" s="2872"/>
      <c r="P15" s="2715"/>
      <c r="Q15" s="2873"/>
      <c r="R15" s="2874"/>
      <c r="S15" s="2875"/>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5" t="s">
        <v>6720</v>
      </c>
    </row>
    <row r="16" spans="1:493" ht="13.9" customHeight="1">
      <c r="A16" s="108" t="str">
        <f t="shared" si="327"/>
        <v/>
      </c>
      <c r="B16" s="2866" t="s">
        <v>292</v>
      </c>
      <c r="C16" s="2867"/>
      <c r="D16" s="2868"/>
      <c r="E16" s="2869"/>
      <c r="F16" s="2869"/>
      <c r="G16" s="2869"/>
      <c r="H16" s="2869"/>
      <c r="I16" s="2869"/>
      <c r="J16" s="2870"/>
      <c r="K16" s="2871"/>
      <c r="L16" s="537">
        <f t="shared" si="0"/>
        <v>0</v>
      </c>
      <c r="M16" s="537">
        <f t="shared" si="1"/>
        <v>0</v>
      </c>
      <c r="N16" s="2715"/>
      <c r="O16" s="2872"/>
      <c r="P16" s="2715"/>
      <c r="Q16" s="2873"/>
      <c r="R16" s="2874"/>
      <c r="S16" s="2875"/>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5" t="s">
        <v>6721</v>
      </c>
    </row>
    <row r="17" spans="1:380" ht="13.9" customHeight="1" thickBot="1">
      <c r="A17" s="108" t="str">
        <f t="shared" si="327"/>
        <v/>
      </c>
      <c r="B17" s="2876" t="s">
        <v>292</v>
      </c>
      <c r="C17" s="2877"/>
      <c r="D17" s="2878"/>
      <c r="E17" s="2879"/>
      <c r="F17" s="2879"/>
      <c r="G17" s="2879"/>
      <c r="H17" s="2879"/>
      <c r="I17" s="2879"/>
      <c r="J17" s="2880"/>
      <c r="K17" s="2881"/>
      <c r="L17" s="1189">
        <f t="shared" si="0"/>
        <v>0</v>
      </c>
      <c r="M17" s="1189">
        <f t="shared" si="1"/>
        <v>0</v>
      </c>
      <c r="N17" s="2882"/>
      <c r="O17" s="2883"/>
      <c r="P17" s="2882"/>
      <c r="Q17" s="2884"/>
      <c r="R17" s="2874"/>
      <c r="S17" s="2875"/>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5" t="s">
        <v>6722</v>
      </c>
    </row>
    <row r="18" spans="1:380" ht="13.9" customHeight="1">
      <c r="A18" s="108" t="str">
        <f t="shared" si="327"/>
        <v/>
      </c>
      <c r="B18" s="2885">
        <v>30</v>
      </c>
      <c r="C18" s="2886">
        <v>1</v>
      </c>
      <c r="D18" s="2887">
        <v>1</v>
      </c>
      <c r="E18" s="2888">
        <v>10</v>
      </c>
      <c r="F18" s="2888">
        <v>650</v>
      </c>
      <c r="G18" s="2888">
        <v>485</v>
      </c>
      <c r="H18" s="2888">
        <v>688</v>
      </c>
      <c r="I18" s="2888">
        <v>0</v>
      </c>
      <c r="J18" s="2889">
        <f>SUM('Part V-Utility Allowances'!J12:J18)</f>
        <v>66.13</v>
      </c>
      <c r="K18" s="2890" t="s">
        <v>6536</v>
      </c>
      <c r="L18" s="1188">
        <f t="shared" si="0"/>
        <v>621.87</v>
      </c>
      <c r="M18" s="1188">
        <f t="shared" si="1"/>
        <v>6218.7</v>
      </c>
      <c r="N18" s="2891" t="s">
        <v>2772</v>
      </c>
      <c r="O18" s="2892" t="s">
        <v>6595</v>
      </c>
      <c r="P18" s="2891" t="s">
        <v>2192</v>
      </c>
      <c r="Q18" s="2893" t="s">
        <v>2772</v>
      </c>
      <c r="R18" s="2874"/>
      <c r="S18" s="2875"/>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f t="shared" si="28"/>
        <v>10</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f t="shared" si="48"/>
        <v>10</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f t="shared" si="143"/>
        <v>6500</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6500</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10</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10</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10</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5" t="s">
        <v>6723</v>
      </c>
    </row>
    <row r="19" spans="1:380" ht="13.9" customHeight="1">
      <c r="A19" s="108" t="str">
        <f t="shared" si="327"/>
        <v/>
      </c>
      <c r="B19" s="2894">
        <v>30</v>
      </c>
      <c r="C19" s="2867">
        <v>2</v>
      </c>
      <c r="D19" s="2868">
        <v>1</v>
      </c>
      <c r="E19" s="2869">
        <v>6</v>
      </c>
      <c r="F19" s="2869">
        <v>850</v>
      </c>
      <c r="G19" s="2869">
        <v>582</v>
      </c>
      <c r="H19" s="2869">
        <v>797</v>
      </c>
      <c r="I19" s="2869">
        <v>0</v>
      </c>
      <c r="J19" s="2895">
        <f>SUM('Part V-Utility Allowances'!K12:K18)</f>
        <v>81.069999999999993</v>
      </c>
      <c r="K19" s="2890" t="s">
        <v>6536</v>
      </c>
      <c r="L19" s="537">
        <f t="shared" si="0"/>
        <v>715.93000000000006</v>
      </c>
      <c r="M19" s="537">
        <f t="shared" si="1"/>
        <v>4295.58</v>
      </c>
      <c r="N19" s="2715" t="s">
        <v>2772</v>
      </c>
      <c r="O19" s="2892" t="s">
        <v>6595</v>
      </c>
      <c r="P19" s="2715" t="s">
        <v>2192</v>
      </c>
      <c r="Q19" s="2873" t="s">
        <v>2772</v>
      </c>
      <c r="R19" s="2874"/>
      <c r="S19" s="2875"/>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f t="shared" si="29"/>
        <v>6</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f t="shared" si="49"/>
        <v>6</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f t="shared" si="144"/>
        <v>5100</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f t="shared" si="159"/>
        <v>5100</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6</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6</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6</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6</v>
      </c>
      <c r="MN19" s="1815">
        <f t="shared" si="336"/>
        <v>0</v>
      </c>
      <c r="MO19" s="1815">
        <f t="shared" si="337"/>
        <v>0</v>
      </c>
      <c r="MP19" s="1815">
        <f t="shared" si="322"/>
        <v>0</v>
      </c>
      <c r="MQ19" s="1815">
        <f t="shared" si="323"/>
        <v>0</v>
      </c>
      <c r="MR19" s="1815">
        <f t="shared" si="324"/>
        <v>0</v>
      </c>
      <c r="MS19" s="1815">
        <f t="shared" si="325"/>
        <v>0</v>
      </c>
      <c r="MT19" s="1815">
        <f t="shared" si="326"/>
        <v>0</v>
      </c>
      <c r="NP19" s="2805" t="s">
        <v>6724</v>
      </c>
    </row>
    <row r="20" spans="1:380" ht="13.9" customHeight="1">
      <c r="A20" s="108" t="str">
        <f t="shared" si="327"/>
        <v/>
      </c>
      <c r="B20" s="2894">
        <v>30</v>
      </c>
      <c r="C20" s="2867">
        <v>3</v>
      </c>
      <c r="D20" s="2868">
        <v>2</v>
      </c>
      <c r="E20" s="2869">
        <v>4</v>
      </c>
      <c r="F20" s="2869">
        <v>1100</v>
      </c>
      <c r="G20" s="2869">
        <v>672</v>
      </c>
      <c r="H20" s="2869">
        <v>970</v>
      </c>
      <c r="I20" s="2869">
        <v>0</v>
      </c>
      <c r="J20" s="2895">
        <f>SUM('Part V-Utility Allowances'!L12:L18)</f>
        <v>93.22</v>
      </c>
      <c r="K20" s="2890" t="s">
        <v>6536</v>
      </c>
      <c r="L20" s="537">
        <f t="shared" si="0"/>
        <v>876.78</v>
      </c>
      <c r="M20" s="537">
        <f t="shared" si="1"/>
        <v>3507.12</v>
      </c>
      <c r="N20" s="2715" t="s">
        <v>2772</v>
      </c>
      <c r="O20" s="2892" t="s">
        <v>6595</v>
      </c>
      <c r="P20" s="2715" t="s">
        <v>2192</v>
      </c>
      <c r="Q20" s="2873" t="s">
        <v>2772</v>
      </c>
      <c r="R20" s="2874"/>
      <c r="S20" s="2875"/>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f t="shared" si="30"/>
        <v>4</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f t="shared" si="50"/>
        <v>4</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f t="shared" si="145"/>
        <v>4400</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f t="shared" si="160"/>
        <v>4400</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4</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4</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4</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4</v>
      </c>
      <c r="MO20" s="1815">
        <f t="shared" si="337"/>
        <v>0</v>
      </c>
      <c r="MP20" s="1815">
        <f t="shared" si="322"/>
        <v>0</v>
      </c>
      <c r="MQ20" s="1815">
        <f t="shared" si="323"/>
        <v>0</v>
      </c>
      <c r="MR20" s="1815">
        <f t="shared" si="324"/>
        <v>0</v>
      </c>
      <c r="MS20" s="1815">
        <f t="shared" si="325"/>
        <v>0</v>
      </c>
      <c r="MT20" s="1815">
        <f t="shared" si="326"/>
        <v>0</v>
      </c>
      <c r="NP20" s="2805" t="s">
        <v>6725</v>
      </c>
    </row>
    <row r="21" spans="1:380" ht="13.9" customHeight="1">
      <c r="A21" s="108" t="str">
        <f t="shared" si="327"/>
        <v/>
      </c>
      <c r="B21" s="2894">
        <v>60</v>
      </c>
      <c r="C21" s="2867">
        <v>1</v>
      </c>
      <c r="D21" s="2868">
        <v>1</v>
      </c>
      <c r="E21" s="2869">
        <v>35</v>
      </c>
      <c r="F21" s="2869">
        <v>650</v>
      </c>
      <c r="G21" s="2869">
        <v>970</v>
      </c>
      <c r="H21" s="2869">
        <v>688</v>
      </c>
      <c r="I21" s="2869">
        <v>0</v>
      </c>
      <c r="J21" s="2895">
        <f t="shared" ref="J21:J26" si="338">J18</f>
        <v>66.13</v>
      </c>
      <c r="K21" s="2890" t="s">
        <v>6536</v>
      </c>
      <c r="L21" s="537">
        <f t="shared" si="0"/>
        <v>621.87</v>
      </c>
      <c r="M21" s="537">
        <f t="shared" si="1"/>
        <v>21765.45</v>
      </c>
      <c r="N21" s="2715" t="s">
        <v>2772</v>
      </c>
      <c r="O21" s="2892" t="s">
        <v>6595</v>
      </c>
      <c r="P21" s="2715" t="s">
        <v>2192</v>
      </c>
      <c r="Q21" s="2873" t="s">
        <v>2772</v>
      </c>
      <c r="R21" s="2874"/>
      <c r="S21" s="2875"/>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35</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f t="shared" si="63"/>
        <v>35</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22750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f t="shared" si="158"/>
        <v>22750</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35</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35</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35</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35</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5" t="s">
        <v>6726</v>
      </c>
    </row>
    <row r="22" spans="1:380" ht="13.9" customHeight="1">
      <c r="A22" s="108" t="str">
        <f t="shared" si="327"/>
        <v/>
      </c>
      <c r="B22" s="2894">
        <v>60</v>
      </c>
      <c r="C22" s="2867">
        <v>2</v>
      </c>
      <c r="D22" s="2868">
        <v>1</v>
      </c>
      <c r="E22" s="2869">
        <v>20</v>
      </c>
      <c r="F22" s="2869">
        <v>850</v>
      </c>
      <c r="G22" s="2869">
        <v>1164</v>
      </c>
      <c r="H22" s="2869">
        <v>797</v>
      </c>
      <c r="I22" s="2869">
        <v>0</v>
      </c>
      <c r="J22" s="2895">
        <f t="shared" si="338"/>
        <v>81.069999999999993</v>
      </c>
      <c r="K22" s="2890" t="s">
        <v>6536</v>
      </c>
      <c r="L22" s="537">
        <f t="shared" si="0"/>
        <v>715.93000000000006</v>
      </c>
      <c r="M22" s="537">
        <f t="shared" si="1"/>
        <v>14318.600000000002</v>
      </c>
      <c r="N22" s="2715" t="s">
        <v>2772</v>
      </c>
      <c r="O22" s="2892" t="s">
        <v>6595</v>
      </c>
      <c r="P22" s="2715" t="s">
        <v>2192</v>
      </c>
      <c r="Q22" s="2873" t="s">
        <v>2772</v>
      </c>
      <c r="R22" s="2874"/>
      <c r="S22" s="2875"/>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20</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f t="shared" si="64"/>
        <v>20</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17000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f t="shared" si="159"/>
        <v>17000</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20</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20</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20</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20</v>
      </c>
      <c r="MN22" s="1815">
        <f t="shared" si="336"/>
        <v>0</v>
      </c>
      <c r="MO22" s="1815">
        <f t="shared" si="337"/>
        <v>0</v>
      </c>
      <c r="MP22" s="1815">
        <f t="shared" si="322"/>
        <v>0</v>
      </c>
      <c r="MQ22" s="1815">
        <f t="shared" si="323"/>
        <v>0</v>
      </c>
      <c r="MR22" s="1815">
        <f t="shared" si="324"/>
        <v>0</v>
      </c>
      <c r="MS22" s="1815">
        <f t="shared" si="325"/>
        <v>0</v>
      </c>
      <c r="MT22" s="1815">
        <f t="shared" si="326"/>
        <v>0</v>
      </c>
      <c r="NP22" s="2805" t="s">
        <v>6727</v>
      </c>
    </row>
    <row r="23" spans="1:380" ht="13.9" customHeight="1">
      <c r="A23" s="108" t="str">
        <f t="shared" si="327"/>
        <v/>
      </c>
      <c r="B23" s="2894">
        <v>60</v>
      </c>
      <c r="C23" s="2867">
        <v>3</v>
      </c>
      <c r="D23" s="2868">
        <v>2</v>
      </c>
      <c r="E23" s="2869">
        <v>12</v>
      </c>
      <c r="F23" s="2869">
        <v>1100</v>
      </c>
      <c r="G23" s="2869">
        <v>1344</v>
      </c>
      <c r="H23" s="2869">
        <v>970</v>
      </c>
      <c r="I23" s="2869">
        <v>0</v>
      </c>
      <c r="J23" s="2895">
        <f t="shared" si="338"/>
        <v>93.22</v>
      </c>
      <c r="K23" s="2890" t="s">
        <v>6536</v>
      </c>
      <c r="L23" s="537">
        <f t="shared" si="0"/>
        <v>876.78</v>
      </c>
      <c r="M23" s="537">
        <f t="shared" si="1"/>
        <v>10521.36</v>
      </c>
      <c r="N23" s="2715" t="s">
        <v>2772</v>
      </c>
      <c r="O23" s="2892" t="s">
        <v>6595</v>
      </c>
      <c r="P23" s="2715" t="s">
        <v>2192</v>
      </c>
      <c r="Q23" s="2873" t="s">
        <v>2772</v>
      </c>
      <c r="R23" s="2874"/>
      <c r="S23" s="2875"/>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12</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f t="shared" si="65"/>
        <v>12</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13200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f t="shared" si="160"/>
        <v>13200</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12</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12</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12</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12</v>
      </c>
      <c r="MO23" s="1815">
        <f t="shared" si="337"/>
        <v>0</v>
      </c>
      <c r="MP23" s="1815">
        <f t="shared" si="322"/>
        <v>0</v>
      </c>
      <c r="MQ23" s="1815">
        <f t="shared" si="323"/>
        <v>0</v>
      </c>
      <c r="MR23" s="1815">
        <f t="shared" si="324"/>
        <v>0</v>
      </c>
      <c r="MS23" s="1815">
        <f t="shared" si="325"/>
        <v>0</v>
      </c>
      <c r="MT23" s="1815">
        <f t="shared" si="326"/>
        <v>0</v>
      </c>
      <c r="NP23" s="2805" t="s">
        <v>6728</v>
      </c>
    </row>
    <row r="24" spans="1:380" ht="13.9" customHeight="1">
      <c r="A24" s="108" t="str">
        <f t="shared" si="327"/>
        <v/>
      </c>
      <c r="B24" s="2894">
        <v>80</v>
      </c>
      <c r="C24" s="2867">
        <v>1</v>
      </c>
      <c r="D24" s="2868">
        <v>1</v>
      </c>
      <c r="E24" s="2869">
        <v>4</v>
      </c>
      <c r="F24" s="2869">
        <v>650</v>
      </c>
      <c r="G24" s="2869">
        <v>1294</v>
      </c>
      <c r="H24" s="2869">
        <v>688</v>
      </c>
      <c r="I24" s="2869">
        <v>0</v>
      </c>
      <c r="J24" s="2895">
        <f t="shared" si="338"/>
        <v>66.13</v>
      </c>
      <c r="K24" s="2890" t="s">
        <v>6536</v>
      </c>
      <c r="L24" s="537">
        <f t="shared" si="0"/>
        <v>621.87</v>
      </c>
      <c r="M24" s="537">
        <f t="shared" si="1"/>
        <v>2487.48</v>
      </c>
      <c r="N24" s="2715" t="s">
        <v>2772</v>
      </c>
      <c r="O24" s="2892" t="s">
        <v>6595</v>
      </c>
      <c r="P24" s="2715" t="s">
        <v>2192</v>
      </c>
      <c r="Q24" s="2873" t="s">
        <v>2772</v>
      </c>
      <c r="R24" s="2874"/>
      <c r="S24" s="2875"/>
      <c r="T24" s="3830"/>
      <c r="U24" s="3831"/>
      <c r="V24" s="3831"/>
      <c r="W24" s="3832"/>
      <c r="X24" s="430" t="str">
        <f t="shared" si="2"/>
        <v/>
      </c>
      <c r="Y24" s="430">
        <f t="shared" si="3"/>
        <v>4</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f t="shared" si="73"/>
        <v>4</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f t="shared" si="118"/>
        <v>2600</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f t="shared" si="158"/>
        <v>2600</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4</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f t="shared" si="213"/>
        <v>4</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f t="shared" si="258"/>
        <v>4</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4</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5" t="s">
        <v>6729</v>
      </c>
    </row>
    <row r="25" spans="1:380" ht="13.9" customHeight="1">
      <c r="A25" s="108" t="str">
        <f t="shared" si="327"/>
        <v/>
      </c>
      <c r="B25" s="2894">
        <v>80</v>
      </c>
      <c r="C25" s="2867">
        <v>2</v>
      </c>
      <c r="D25" s="2868">
        <v>1</v>
      </c>
      <c r="E25" s="2869">
        <v>3</v>
      </c>
      <c r="F25" s="2869">
        <v>850</v>
      </c>
      <c r="G25" s="2869">
        <v>1552</v>
      </c>
      <c r="H25" s="2869">
        <v>797</v>
      </c>
      <c r="I25" s="2869">
        <v>0</v>
      </c>
      <c r="J25" s="2895">
        <f t="shared" si="338"/>
        <v>81.069999999999993</v>
      </c>
      <c r="K25" s="2890" t="s">
        <v>6536</v>
      </c>
      <c r="L25" s="537">
        <f t="shared" si="0"/>
        <v>715.93000000000006</v>
      </c>
      <c r="M25" s="537">
        <f t="shared" si="1"/>
        <v>2147.79</v>
      </c>
      <c r="N25" s="2715" t="s">
        <v>2772</v>
      </c>
      <c r="O25" s="2892" t="s">
        <v>6595</v>
      </c>
      <c r="P25" s="2715" t="s">
        <v>2192</v>
      </c>
      <c r="Q25" s="2873" t="s">
        <v>2772</v>
      </c>
      <c r="R25" s="2874"/>
      <c r="S25" s="2875"/>
      <c r="T25" s="3830"/>
      <c r="U25" s="3831"/>
      <c r="V25" s="3831"/>
      <c r="W25" s="3832"/>
      <c r="X25" s="430" t="str">
        <f t="shared" si="2"/>
        <v/>
      </c>
      <c r="Y25" s="430" t="str">
        <f t="shared" si="3"/>
        <v/>
      </c>
      <c r="Z25" s="430">
        <f t="shared" si="4"/>
        <v>3</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f t="shared" si="74"/>
        <v>3</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f t="shared" si="119"/>
        <v>2550</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f t="shared" si="159"/>
        <v>2550</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3</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f t="shared" si="214"/>
        <v>3</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f t="shared" si="259"/>
        <v>3</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3</v>
      </c>
      <c r="MN25" s="1815">
        <f t="shared" si="336"/>
        <v>0</v>
      </c>
      <c r="MO25" s="1815">
        <f t="shared" si="337"/>
        <v>0</v>
      </c>
      <c r="MP25" s="1815">
        <f t="shared" si="322"/>
        <v>0</v>
      </c>
      <c r="MQ25" s="1815">
        <f t="shared" si="323"/>
        <v>0</v>
      </c>
      <c r="MR25" s="1815">
        <f t="shared" si="324"/>
        <v>0</v>
      </c>
      <c r="MS25" s="1815">
        <f t="shared" si="325"/>
        <v>0</v>
      </c>
      <c r="MT25" s="1815">
        <f t="shared" si="326"/>
        <v>0</v>
      </c>
      <c r="NP25" s="2805" t="s">
        <v>6730</v>
      </c>
    </row>
    <row r="26" spans="1:380" ht="13.9" customHeight="1">
      <c r="A26" s="108" t="str">
        <f t="shared" si="327"/>
        <v/>
      </c>
      <c r="B26" s="2894">
        <v>80</v>
      </c>
      <c r="C26" s="2867">
        <v>3</v>
      </c>
      <c r="D26" s="2868">
        <v>2</v>
      </c>
      <c r="E26" s="2869">
        <v>1</v>
      </c>
      <c r="F26" s="2869">
        <v>1100</v>
      </c>
      <c r="G26" s="2869">
        <v>1793</v>
      </c>
      <c r="H26" s="2869">
        <v>970</v>
      </c>
      <c r="I26" s="2869">
        <v>0</v>
      </c>
      <c r="J26" s="2895">
        <f t="shared" si="338"/>
        <v>93.22</v>
      </c>
      <c r="K26" s="2890" t="s">
        <v>6536</v>
      </c>
      <c r="L26" s="537">
        <f t="shared" si="0"/>
        <v>876.78</v>
      </c>
      <c r="M26" s="537">
        <f t="shared" si="1"/>
        <v>876.78</v>
      </c>
      <c r="N26" s="2715" t="s">
        <v>2772</v>
      </c>
      <c r="O26" s="2892" t="s">
        <v>6595</v>
      </c>
      <c r="P26" s="2715" t="s">
        <v>2192</v>
      </c>
      <c r="Q26" s="2873" t="s">
        <v>2772</v>
      </c>
      <c r="R26" s="2874"/>
      <c r="S26" s="2875"/>
      <c r="T26" s="3830"/>
      <c r="U26" s="3831"/>
      <c r="V26" s="3831"/>
      <c r="W26" s="3832"/>
      <c r="X26" s="430" t="str">
        <f t="shared" si="2"/>
        <v/>
      </c>
      <c r="Y26" s="430" t="str">
        <f t="shared" si="3"/>
        <v/>
      </c>
      <c r="Z26" s="430" t="str">
        <f t="shared" si="4"/>
        <v/>
      </c>
      <c r="AA26" s="430">
        <f t="shared" si="5"/>
        <v>1</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f t="shared" si="75"/>
        <v>1</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f t="shared" si="120"/>
        <v>1100</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f t="shared" si="160"/>
        <v>1100</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1</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1</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1</v>
      </c>
      <c r="MO26" s="1815">
        <f t="shared" si="337"/>
        <v>0</v>
      </c>
      <c r="MP26" s="1815">
        <f t="shared" si="322"/>
        <v>0</v>
      </c>
      <c r="MQ26" s="1815">
        <f t="shared" si="323"/>
        <v>0</v>
      </c>
      <c r="MR26" s="1815">
        <f t="shared" si="324"/>
        <v>0</v>
      </c>
      <c r="MS26" s="1815">
        <f t="shared" si="325"/>
        <v>0</v>
      </c>
      <c r="MT26" s="1815">
        <f t="shared" si="326"/>
        <v>0</v>
      </c>
      <c r="NP26" s="2805" t="s">
        <v>6731</v>
      </c>
    </row>
    <row r="27" spans="1:380" ht="13.9" customHeight="1">
      <c r="A27" s="108" t="str">
        <f t="shared" si="327"/>
        <v/>
      </c>
      <c r="B27" s="2894"/>
      <c r="C27" s="2867"/>
      <c r="D27" s="2868"/>
      <c r="E27" s="2869"/>
      <c r="F27" s="2869"/>
      <c r="G27" s="2869"/>
      <c r="H27" s="2869"/>
      <c r="I27" s="2869"/>
      <c r="J27" s="2895">
        <f>IF(C27="",0,HLOOKUP(C27,'Part V-Utility Allowances'!$I$11:$M$22,12))</f>
        <v>0</v>
      </c>
      <c r="K27" s="2871"/>
      <c r="L27" s="537">
        <f t="shared" si="0"/>
        <v>0</v>
      </c>
      <c r="M27" s="537">
        <f t="shared" si="1"/>
        <v>0</v>
      </c>
      <c r="N27" s="2715"/>
      <c r="O27" s="2872"/>
      <c r="P27" s="2715"/>
      <c r="Q27" s="2873"/>
      <c r="R27" s="2874"/>
      <c r="S27" s="2875"/>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5" t="s">
        <v>6732</v>
      </c>
    </row>
    <row r="28" spans="1:380" ht="13.9" customHeight="1">
      <c r="A28" s="108" t="str">
        <f t="shared" si="327"/>
        <v/>
      </c>
      <c r="B28" s="2894"/>
      <c r="C28" s="2867"/>
      <c r="D28" s="2868"/>
      <c r="E28" s="2869"/>
      <c r="F28" s="2869"/>
      <c r="G28" s="2869"/>
      <c r="H28" s="2869"/>
      <c r="I28" s="2869"/>
      <c r="J28" s="2895">
        <f>IF(C28="",0,HLOOKUP(C28,'Part V-Utility Allowances'!$I$11:$M$22,12))</f>
        <v>0</v>
      </c>
      <c r="K28" s="2871"/>
      <c r="L28" s="537">
        <f t="shared" si="0"/>
        <v>0</v>
      </c>
      <c r="M28" s="537">
        <f t="shared" si="1"/>
        <v>0</v>
      </c>
      <c r="N28" s="2715"/>
      <c r="O28" s="2872"/>
      <c r="P28" s="2715"/>
      <c r="Q28" s="2873"/>
      <c r="R28" s="2874"/>
      <c r="S28" s="2875"/>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5" t="s">
        <v>6733</v>
      </c>
    </row>
    <row r="29" spans="1:380" ht="13.9" customHeight="1">
      <c r="A29" s="108" t="str">
        <f t="shared" si="327"/>
        <v/>
      </c>
      <c r="B29" s="2894"/>
      <c r="C29" s="2867"/>
      <c r="D29" s="2868"/>
      <c r="E29" s="2869"/>
      <c r="F29" s="2869"/>
      <c r="G29" s="2869"/>
      <c r="H29" s="2869"/>
      <c r="I29" s="2869"/>
      <c r="J29" s="2895">
        <f>IF(C29="",0,HLOOKUP(C29,'Part V-Utility Allowances'!$I$11:$M$22,12))</f>
        <v>0</v>
      </c>
      <c r="K29" s="2871"/>
      <c r="L29" s="537">
        <f t="shared" si="0"/>
        <v>0</v>
      </c>
      <c r="M29" s="537">
        <f t="shared" si="1"/>
        <v>0</v>
      </c>
      <c r="N29" s="2715"/>
      <c r="O29" s="2872"/>
      <c r="P29" s="2715"/>
      <c r="Q29" s="2873"/>
      <c r="R29" s="2874"/>
      <c r="S29" s="2875"/>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5" t="s">
        <v>6734</v>
      </c>
    </row>
    <row r="30" spans="1:380" ht="13.9" customHeight="1">
      <c r="A30" s="108" t="str">
        <f t="shared" si="327"/>
        <v/>
      </c>
      <c r="B30" s="2894"/>
      <c r="C30" s="2867"/>
      <c r="D30" s="2868"/>
      <c r="E30" s="2869"/>
      <c r="F30" s="2869"/>
      <c r="G30" s="2869"/>
      <c r="H30" s="2869"/>
      <c r="I30" s="2869"/>
      <c r="J30" s="2895">
        <f>IF(C30="",0,HLOOKUP(C30,'Part V-Utility Allowances'!$I$11:$M$22,12))</f>
        <v>0</v>
      </c>
      <c r="K30" s="2871"/>
      <c r="L30" s="537">
        <f t="shared" si="0"/>
        <v>0</v>
      </c>
      <c r="M30" s="537">
        <f t="shared" si="1"/>
        <v>0</v>
      </c>
      <c r="N30" s="2715"/>
      <c r="O30" s="2872"/>
      <c r="P30" s="2715"/>
      <c r="Q30" s="2873"/>
      <c r="R30" s="2874"/>
      <c r="S30" s="2875"/>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5" t="s">
        <v>6735</v>
      </c>
    </row>
    <row r="31" spans="1:380" ht="13.9" customHeight="1">
      <c r="A31" s="108" t="str">
        <f t="shared" si="327"/>
        <v/>
      </c>
      <c r="B31" s="2894"/>
      <c r="C31" s="2867"/>
      <c r="D31" s="2868"/>
      <c r="E31" s="2869"/>
      <c r="F31" s="2869"/>
      <c r="G31" s="2869"/>
      <c r="H31" s="2869"/>
      <c r="I31" s="2869"/>
      <c r="J31" s="2895">
        <f>IF(C31="",0,HLOOKUP(C31,'Part V-Utility Allowances'!$I$11:$M$22,12))</f>
        <v>0</v>
      </c>
      <c r="K31" s="2871"/>
      <c r="L31" s="537">
        <f t="shared" si="0"/>
        <v>0</v>
      </c>
      <c r="M31" s="537">
        <f t="shared" si="1"/>
        <v>0</v>
      </c>
      <c r="N31" s="2715"/>
      <c r="O31" s="2872"/>
      <c r="P31" s="2715"/>
      <c r="Q31" s="2873"/>
      <c r="R31" s="2874"/>
      <c r="S31" s="2875"/>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5" t="s">
        <v>6736</v>
      </c>
    </row>
    <row r="32" spans="1:380" ht="13.9" customHeight="1">
      <c r="A32" s="108" t="str">
        <f t="shared" si="327"/>
        <v/>
      </c>
      <c r="B32" s="2894"/>
      <c r="C32" s="2867"/>
      <c r="D32" s="2868"/>
      <c r="E32" s="2869"/>
      <c r="F32" s="2869"/>
      <c r="G32" s="2869"/>
      <c r="H32" s="2869"/>
      <c r="I32" s="2869"/>
      <c r="J32" s="2895">
        <f>IF(C32="",0,HLOOKUP(C32,'Part V-Utility Allowances'!$I$11:$M$22,12))</f>
        <v>0</v>
      </c>
      <c r="K32" s="2871"/>
      <c r="L32" s="537">
        <f t="shared" si="0"/>
        <v>0</v>
      </c>
      <c r="M32" s="537">
        <f t="shared" si="1"/>
        <v>0</v>
      </c>
      <c r="N32" s="2715"/>
      <c r="O32" s="2872"/>
      <c r="P32" s="2715"/>
      <c r="Q32" s="2873"/>
      <c r="R32" s="2874"/>
      <c r="S32" s="2875"/>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5" t="s">
        <v>6737</v>
      </c>
    </row>
    <row r="33" spans="1:380" ht="13.9" customHeight="1">
      <c r="A33" s="108" t="str">
        <f t="shared" si="327"/>
        <v/>
      </c>
      <c r="B33" s="2894"/>
      <c r="C33" s="2867"/>
      <c r="D33" s="2868"/>
      <c r="E33" s="2869"/>
      <c r="F33" s="2869"/>
      <c r="G33" s="2869"/>
      <c r="H33" s="2869"/>
      <c r="I33" s="2869"/>
      <c r="J33" s="2895">
        <f>IF(C33="",0,HLOOKUP(C33,'Part V-Utility Allowances'!$I$11:$M$22,12))</f>
        <v>0</v>
      </c>
      <c r="K33" s="2871"/>
      <c r="L33" s="537">
        <f t="shared" si="0"/>
        <v>0</v>
      </c>
      <c r="M33" s="537">
        <f t="shared" si="1"/>
        <v>0</v>
      </c>
      <c r="N33" s="2715"/>
      <c r="O33" s="2872"/>
      <c r="P33" s="2715"/>
      <c r="Q33" s="2873"/>
      <c r="R33" s="2874"/>
      <c r="S33" s="2875"/>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5" t="s">
        <v>6738</v>
      </c>
    </row>
    <row r="34" spans="1:380" ht="13.9" customHeight="1">
      <c r="A34" s="108" t="str">
        <f t="shared" si="327"/>
        <v/>
      </c>
      <c r="B34" s="2894"/>
      <c r="C34" s="2867"/>
      <c r="D34" s="2868"/>
      <c r="E34" s="2869"/>
      <c r="F34" s="2869"/>
      <c r="G34" s="2869"/>
      <c r="H34" s="2869"/>
      <c r="I34" s="2869"/>
      <c r="J34" s="2895">
        <f>IF(C34="",0,HLOOKUP(C34,'Part V-Utility Allowances'!$I$11:$M$22,12))</f>
        <v>0</v>
      </c>
      <c r="K34" s="2871"/>
      <c r="L34" s="537">
        <f t="shared" si="0"/>
        <v>0</v>
      </c>
      <c r="M34" s="537">
        <f t="shared" si="1"/>
        <v>0</v>
      </c>
      <c r="N34" s="2715"/>
      <c r="O34" s="2872"/>
      <c r="P34" s="2715"/>
      <c r="Q34" s="2873"/>
      <c r="R34" s="2874"/>
      <c r="S34" s="2875"/>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5" t="s">
        <v>6739</v>
      </c>
    </row>
    <row r="35" spans="1:380" ht="13.9" customHeight="1">
      <c r="A35" s="108" t="str">
        <f t="shared" si="327"/>
        <v/>
      </c>
      <c r="B35" s="2894"/>
      <c r="C35" s="2867"/>
      <c r="D35" s="2868"/>
      <c r="E35" s="2869"/>
      <c r="F35" s="2869"/>
      <c r="G35" s="2869"/>
      <c r="H35" s="2869"/>
      <c r="I35" s="2869"/>
      <c r="J35" s="2895">
        <f>IF(C35="",0,HLOOKUP(C35,'Part V-Utility Allowances'!$I$11:$M$22,12))</f>
        <v>0</v>
      </c>
      <c r="K35" s="2871"/>
      <c r="L35" s="537">
        <f t="shared" si="0"/>
        <v>0</v>
      </c>
      <c r="M35" s="537">
        <f t="shared" si="1"/>
        <v>0</v>
      </c>
      <c r="N35" s="2715"/>
      <c r="O35" s="2872"/>
      <c r="P35" s="2715"/>
      <c r="Q35" s="2873"/>
      <c r="R35" s="2874"/>
      <c r="S35" s="2875"/>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5" t="s">
        <v>6740</v>
      </c>
    </row>
    <row r="36" spans="1:380" ht="13.9" customHeight="1">
      <c r="A36" s="108" t="str">
        <f t="shared" si="327"/>
        <v/>
      </c>
      <c r="B36" s="2894"/>
      <c r="C36" s="2867"/>
      <c r="D36" s="2868"/>
      <c r="E36" s="2869"/>
      <c r="F36" s="2869"/>
      <c r="G36" s="2869"/>
      <c r="H36" s="2869"/>
      <c r="I36" s="2869"/>
      <c r="J36" s="2895">
        <f>IF(C36="",0,HLOOKUP(C36,'Part V-Utility Allowances'!$I$11:$M$22,12))</f>
        <v>0</v>
      </c>
      <c r="K36" s="2871"/>
      <c r="L36" s="537">
        <f t="shared" si="0"/>
        <v>0</v>
      </c>
      <c r="M36" s="537">
        <f t="shared" si="1"/>
        <v>0</v>
      </c>
      <c r="N36" s="2715"/>
      <c r="O36" s="2872"/>
      <c r="P36" s="2715"/>
      <c r="Q36" s="2873"/>
      <c r="R36" s="2874"/>
      <c r="S36" s="2875"/>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5" t="s">
        <v>6741</v>
      </c>
    </row>
    <row r="37" spans="1:380" ht="13.9" customHeight="1">
      <c r="A37" s="108" t="str">
        <f t="shared" si="327"/>
        <v/>
      </c>
      <c r="B37" s="2894"/>
      <c r="C37" s="2867"/>
      <c r="D37" s="2868"/>
      <c r="E37" s="2869"/>
      <c r="F37" s="2869"/>
      <c r="G37" s="2869"/>
      <c r="H37" s="2869"/>
      <c r="I37" s="2869"/>
      <c r="J37" s="2895">
        <f>IF(C37="",0,HLOOKUP(C37,'Part V-Utility Allowances'!$I$11:$M$22,12))</f>
        <v>0</v>
      </c>
      <c r="K37" s="2871"/>
      <c r="L37" s="537">
        <f t="shared" si="0"/>
        <v>0</v>
      </c>
      <c r="M37" s="537">
        <f t="shared" si="1"/>
        <v>0</v>
      </c>
      <c r="N37" s="2715"/>
      <c r="O37" s="2872"/>
      <c r="P37" s="2715"/>
      <c r="Q37" s="2873"/>
      <c r="R37" s="2874"/>
      <c r="S37" s="2875"/>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5" t="s">
        <v>6742</v>
      </c>
    </row>
    <row r="38" spans="1:380" ht="13.9" customHeight="1">
      <c r="A38" s="108" t="str">
        <f t="shared" si="327"/>
        <v/>
      </c>
      <c r="B38" s="2894"/>
      <c r="C38" s="2867"/>
      <c r="D38" s="2868"/>
      <c r="E38" s="2869"/>
      <c r="F38" s="2869"/>
      <c r="G38" s="2869"/>
      <c r="H38" s="2869"/>
      <c r="I38" s="2869"/>
      <c r="J38" s="2895">
        <f>IF(C38="",0,HLOOKUP(C38,'Part V-Utility Allowances'!$I$11:$M$22,12))</f>
        <v>0</v>
      </c>
      <c r="K38" s="2871"/>
      <c r="L38" s="537">
        <f t="shared" si="0"/>
        <v>0</v>
      </c>
      <c r="M38" s="537">
        <f t="shared" si="1"/>
        <v>0</v>
      </c>
      <c r="N38" s="2715"/>
      <c r="O38" s="2872"/>
      <c r="P38" s="2715"/>
      <c r="Q38" s="2873"/>
      <c r="R38" s="2874"/>
      <c r="S38" s="2875"/>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5" t="s">
        <v>6743</v>
      </c>
    </row>
    <row r="39" spans="1:380" ht="13.9" customHeight="1">
      <c r="A39" s="108" t="str">
        <f t="shared" si="327"/>
        <v/>
      </c>
      <c r="B39" s="2894"/>
      <c r="C39" s="2867"/>
      <c r="D39" s="2868"/>
      <c r="E39" s="2869"/>
      <c r="F39" s="2869"/>
      <c r="G39" s="2869"/>
      <c r="H39" s="2869"/>
      <c r="I39" s="2869"/>
      <c r="J39" s="2895">
        <f>IF(C39="",0,HLOOKUP(C39,'Part V-Utility Allowances'!$I$11:$M$22,12))</f>
        <v>0</v>
      </c>
      <c r="K39" s="2871"/>
      <c r="L39" s="537">
        <f t="shared" si="0"/>
        <v>0</v>
      </c>
      <c r="M39" s="537">
        <f t="shared" si="1"/>
        <v>0</v>
      </c>
      <c r="N39" s="2715"/>
      <c r="O39" s="2872"/>
      <c r="P39" s="2715"/>
      <c r="Q39" s="2873"/>
      <c r="R39" s="2874"/>
      <c r="S39" s="2875"/>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5" t="s">
        <v>6744</v>
      </c>
    </row>
    <row r="40" spans="1:380" ht="13.9" customHeight="1">
      <c r="A40" s="108" t="str">
        <f t="shared" si="327"/>
        <v/>
      </c>
      <c r="B40" s="2894"/>
      <c r="C40" s="2867"/>
      <c r="D40" s="2868"/>
      <c r="E40" s="2869"/>
      <c r="F40" s="2869"/>
      <c r="G40" s="2869"/>
      <c r="H40" s="2869"/>
      <c r="I40" s="2869"/>
      <c r="J40" s="2895">
        <f>IF(C40="",0,HLOOKUP(C40,'Part V-Utility Allowances'!$I$11:$M$22,12))</f>
        <v>0</v>
      </c>
      <c r="K40" s="2871"/>
      <c r="L40" s="537">
        <f t="shared" si="0"/>
        <v>0</v>
      </c>
      <c r="M40" s="537">
        <f t="shared" si="1"/>
        <v>0</v>
      </c>
      <c r="N40" s="2715"/>
      <c r="O40" s="2872"/>
      <c r="P40" s="2715"/>
      <c r="Q40" s="2873"/>
      <c r="R40" s="2874"/>
      <c r="S40" s="2875"/>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5" t="s">
        <v>6745</v>
      </c>
    </row>
    <row r="41" spans="1:380" ht="13.9" customHeight="1">
      <c r="A41" s="108" t="str">
        <f t="shared" si="327"/>
        <v/>
      </c>
      <c r="B41" s="2894"/>
      <c r="C41" s="2867"/>
      <c r="D41" s="2868"/>
      <c r="E41" s="2869"/>
      <c r="F41" s="2869"/>
      <c r="G41" s="2869"/>
      <c r="H41" s="2869"/>
      <c r="I41" s="2869"/>
      <c r="J41" s="2895">
        <f>IF(C41="",0,HLOOKUP(C41,'Part V-Utility Allowances'!$I$11:$M$22,12))</f>
        <v>0</v>
      </c>
      <c r="K41" s="2871"/>
      <c r="L41" s="537">
        <f t="shared" si="0"/>
        <v>0</v>
      </c>
      <c r="M41" s="537">
        <f t="shared" si="1"/>
        <v>0</v>
      </c>
      <c r="N41" s="2715"/>
      <c r="O41" s="2872"/>
      <c r="P41" s="2715"/>
      <c r="Q41" s="2873"/>
      <c r="R41" s="2874"/>
      <c r="S41" s="2875"/>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5" t="s">
        <v>6746</v>
      </c>
    </row>
    <row r="42" spans="1:380" ht="13.9" customHeight="1">
      <c r="A42" s="108" t="str">
        <f t="shared" si="327"/>
        <v/>
      </c>
      <c r="B42" s="2894"/>
      <c r="C42" s="2867"/>
      <c r="D42" s="2868"/>
      <c r="E42" s="2869"/>
      <c r="F42" s="2869"/>
      <c r="G42" s="2869"/>
      <c r="H42" s="2869"/>
      <c r="I42" s="2869"/>
      <c r="J42" s="2895">
        <f>IF(C42="",0,HLOOKUP(C42,'Part V-Utility Allowances'!$I$11:$M$22,12))</f>
        <v>0</v>
      </c>
      <c r="K42" s="2871"/>
      <c r="L42" s="537">
        <f t="shared" si="0"/>
        <v>0</v>
      </c>
      <c r="M42" s="537">
        <f t="shared" si="1"/>
        <v>0</v>
      </c>
      <c r="N42" s="2715"/>
      <c r="O42" s="2872"/>
      <c r="P42" s="2715"/>
      <c r="Q42" s="2873"/>
      <c r="R42" s="2874"/>
      <c r="S42" s="2875"/>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5" t="s">
        <v>6747</v>
      </c>
    </row>
    <row r="43" spans="1:380" ht="13.9" customHeight="1">
      <c r="A43" s="108" t="str">
        <f t="shared" si="327"/>
        <v/>
      </c>
      <c r="B43" s="2894"/>
      <c r="C43" s="2867"/>
      <c r="D43" s="2868"/>
      <c r="E43" s="2869"/>
      <c r="F43" s="2869"/>
      <c r="G43" s="2869"/>
      <c r="H43" s="2869"/>
      <c r="I43" s="2869"/>
      <c r="J43" s="2895">
        <f>IF(C43="",0,HLOOKUP(C43,'Part V-Utility Allowances'!$I$11:$M$22,12))</f>
        <v>0</v>
      </c>
      <c r="K43" s="2871"/>
      <c r="L43" s="537">
        <f t="shared" si="0"/>
        <v>0</v>
      </c>
      <c r="M43" s="537">
        <f t="shared" si="1"/>
        <v>0</v>
      </c>
      <c r="N43" s="2715"/>
      <c r="O43" s="2872"/>
      <c r="P43" s="2715"/>
      <c r="Q43" s="2873"/>
      <c r="R43" s="2874"/>
      <c r="S43" s="2875"/>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5" t="s">
        <v>6748</v>
      </c>
    </row>
    <row r="44" spans="1:380" ht="13.9" customHeight="1">
      <c r="A44" s="108" t="str">
        <f t="shared" si="327"/>
        <v/>
      </c>
      <c r="B44" s="2894"/>
      <c r="C44" s="2867"/>
      <c r="D44" s="2868"/>
      <c r="E44" s="2869"/>
      <c r="F44" s="2869"/>
      <c r="G44" s="2869"/>
      <c r="H44" s="2869"/>
      <c r="I44" s="2869"/>
      <c r="J44" s="2895">
        <f>IF(C44="",0,HLOOKUP(C44,'Part V-Utility Allowances'!$I$11:$M$22,12))</f>
        <v>0</v>
      </c>
      <c r="K44" s="2871"/>
      <c r="L44" s="537">
        <f t="shared" si="0"/>
        <v>0</v>
      </c>
      <c r="M44" s="537">
        <f t="shared" si="1"/>
        <v>0</v>
      </c>
      <c r="N44" s="2715"/>
      <c r="O44" s="2872"/>
      <c r="P44" s="2715"/>
      <c r="Q44" s="2873"/>
      <c r="R44" s="2874"/>
      <c r="S44" s="2875"/>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5" t="s">
        <v>6749</v>
      </c>
    </row>
    <row r="45" spans="1:380" ht="13.9" customHeight="1">
      <c r="A45" s="108" t="str">
        <f t="shared" si="327"/>
        <v/>
      </c>
      <c r="B45" s="2894"/>
      <c r="C45" s="2867"/>
      <c r="D45" s="2868"/>
      <c r="E45" s="2869"/>
      <c r="F45" s="2869"/>
      <c r="G45" s="2869"/>
      <c r="H45" s="2869"/>
      <c r="I45" s="2869"/>
      <c r="J45" s="2895">
        <f>IF(C45="",0,HLOOKUP(C45,'Part V-Utility Allowances'!$I$11:$M$22,12))</f>
        <v>0</v>
      </c>
      <c r="K45" s="2871"/>
      <c r="L45" s="537">
        <f t="shared" si="0"/>
        <v>0</v>
      </c>
      <c r="M45" s="537">
        <f t="shared" si="1"/>
        <v>0</v>
      </c>
      <c r="N45" s="2715"/>
      <c r="O45" s="2872"/>
      <c r="P45" s="2715"/>
      <c r="Q45" s="2873"/>
      <c r="R45" s="2874"/>
      <c r="S45" s="2875"/>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5" t="s">
        <v>6750</v>
      </c>
    </row>
    <row r="46" spans="1:380" ht="13.9" customHeight="1">
      <c r="A46" s="108" t="str">
        <f t="shared" si="327"/>
        <v/>
      </c>
      <c r="B46" s="2894"/>
      <c r="C46" s="2867"/>
      <c r="D46" s="2868"/>
      <c r="E46" s="2869"/>
      <c r="F46" s="2869"/>
      <c r="G46" s="2869"/>
      <c r="H46" s="2869"/>
      <c r="I46" s="2869"/>
      <c r="J46" s="2895">
        <f>IF(C46="",0,HLOOKUP(C46,'Part V-Utility Allowances'!$I$11:$M$22,12))</f>
        <v>0</v>
      </c>
      <c r="K46" s="2871"/>
      <c r="L46" s="537">
        <f t="shared" si="0"/>
        <v>0</v>
      </c>
      <c r="M46" s="537">
        <f t="shared" si="1"/>
        <v>0</v>
      </c>
      <c r="N46" s="2715"/>
      <c r="O46" s="2872"/>
      <c r="P46" s="2715"/>
      <c r="Q46" s="2873"/>
      <c r="R46" s="2874"/>
      <c r="S46" s="2875"/>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5" t="s">
        <v>6751</v>
      </c>
    </row>
    <row r="47" spans="1:380" ht="13.9" customHeight="1">
      <c r="A47" s="108" t="str">
        <f t="shared" si="327"/>
        <v/>
      </c>
      <c r="B47" s="2894"/>
      <c r="C47" s="2867"/>
      <c r="D47" s="2868"/>
      <c r="E47" s="2869"/>
      <c r="F47" s="2869"/>
      <c r="G47" s="2869"/>
      <c r="H47" s="2869"/>
      <c r="I47" s="2869"/>
      <c r="J47" s="2895">
        <f>IF(C47="",0,HLOOKUP(C47,'Part V-Utility Allowances'!$I$11:$M$22,12))</f>
        <v>0</v>
      </c>
      <c r="K47" s="2871"/>
      <c r="L47" s="537">
        <f t="shared" si="0"/>
        <v>0</v>
      </c>
      <c r="M47" s="537">
        <f t="shared" si="1"/>
        <v>0</v>
      </c>
      <c r="N47" s="2715"/>
      <c r="O47" s="2872"/>
      <c r="P47" s="2715"/>
      <c r="Q47" s="2873"/>
      <c r="R47" s="2874"/>
      <c r="S47" s="2875"/>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5" t="s">
        <v>6752</v>
      </c>
    </row>
    <row r="48" spans="1:380" ht="13.9" customHeight="1">
      <c r="A48" s="108" t="str">
        <f t="shared" si="327"/>
        <v/>
      </c>
      <c r="B48" s="2896"/>
      <c r="C48" s="2897"/>
      <c r="D48" s="2898"/>
      <c r="E48" s="2899"/>
      <c r="F48" s="2899"/>
      <c r="G48" s="2899"/>
      <c r="H48" s="2899"/>
      <c r="I48" s="2899"/>
      <c r="J48" s="2900">
        <f>IF(C48="",0,HLOOKUP(C48,'Part V-Utility Allowances'!$I$11:$M$22,12))</f>
        <v>0</v>
      </c>
      <c r="K48" s="2901"/>
      <c r="L48" s="538">
        <f t="shared" si="0"/>
        <v>0</v>
      </c>
      <c r="M48" s="538">
        <f t="shared" si="1"/>
        <v>0</v>
      </c>
      <c r="N48" s="2716"/>
      <c r="O48" s="2610"/>
      <c r="P48" s="2716"/>
      <c r="Q48" s="2902"/>
      <c r="R48" s="2903"/>
      <c r="S48" s="2904"/>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5" t="s">
        <v>6753</v>
      </c>
    </row>
    <row r="49" spans="1:380" s="146" customFormat="1" ht="13.9" customHeight="1">
      <c r="A49" s="1500">
        <f>COUNT(A11,A12,A13,A14,A15,A16,A17,A18,A19,A20,A21,A22,A23,A24,A25,A26,A27,A28,A29,A30,A31,A32,A33,A34,A35,A36,A37,A38,A39,A40)</f>
        <v>0</v>
      </c>
      <c r="B49" s="3865" t="s">
        <v>3921</v>
      </c>
      <c r="C49" s="3866"/>
      <c r="D49" s="137" t="s">
        <v>979</v>
      </c>
      <c r="E49" s="1194">
        <f>SUM(E11:E48)</f>
        <v>95</v>
      </c>
      <c r="F49" s="1192">
        <f>(E11*F11+E12*F12+E13*F13+E14*F14+E15*F15+E16*F16+E17*F17+E18*F18+E19*F19+E20*F20+E21*F21+E22*F22+E23*F23+E24*F24+E25*F25+E26*F26+E27*F27+E28*F28+E29*F29+E30*F30+E31*F31+E32*F32+E33*F33+E34*F34+E35*F35+E36*F36+E37*F37+E38*F38+E39*F39+E40*F40+E41*F41+E42*F42+E43*F43+E44*F44+E45*F45+E46*F46+E47*F47+E48*F48)</f>
        <v>75200</v>
      </c>
      <c r="H49" s="3921" t="s">
        <v>3918</v>
      </c>
      <c r="I49" s="2905" t="s">
        <v>3919</v>
      </c>
      <c r="J49" s="1195" t="str">
        <f>IF(P67=0,"",IF(SUM(P58:P62)/P67&gt;=0.4,"Pass","Fail"))</f>
        <v>Pass</v>
      </c>
      <c r="K49" s="521"/>
      <c r="L49" s="794" t="s">
        <v>1254</v>
      </c>
      <c r="M49" s="122">
        <f>SUM(M11:M48)</f>
        <v>66138.86</v>
      </c>
      <c r="N49" s="93"/>
      <c r="O49" s="522"/>
      <c r="P49" s="93"/>
      <c r="Q49" s="445"/>
      <c r="R49" s="445"/>
      <c r="S49" s="445"/>
      <c r="T49" s="445"/>
      <c r="U49" s="445"/>
      <c r="V49" s="782"/>
      <c r="W49" s="523"/>
      <c r="X49" s="1816">
        <f t="shared" ref="X49:FA49" si="339">SUM(X11:X48)</f>
        <v>0</v>
      </c>
      <c r="Y49" s="1816">
        <f t="shared" si="339"/>
        <v>4</v>
      </c>
      <c r="Z49" s="1816">
        <f t="shared" si="339"/>
        <v>3</v>
      </c>
      <c r="AA49" s="1816">
        <f t="shared" si="339"/>
        <v>1</v>
      </c>
      <c r="AB49" s="1816">
        <f t="shared" si="339"/>
        <v>0</v>
      </c>
      <c r="AC49" s="1816">
        <f t="shared" ref="AC49:AL49" si="340">SUM(AC11:AC48)</f>
        <v>0</v>
      </c>
      <c r="AD49" s="1816">
        <f t="shared" si="340"/>
        <v>0</v>
      </c>
      <c r="AE49" s="1816">
        <f t="shared" si="340"/>
        <v>0</v>
      </c>
      <c r="AF49" s="1816">
        <f t="shared" si="340"/>
        <v>0</v>
      </c>
      <c r="AG49" s="1816">
        <f t="shared" si="340"/>
        <v>0</v>
      </c>
      <c r="AH49" s="1816">
        <f t="shared" si="340"/>
        <v>0</v>
      </c>
      <c r="AI49" s="1816">
        <f t="shared" si="340"/>
        <v>35</v>
      </c>
      <c r="AJ49" s="1816">
        <f t="shared" si="340"/>
        <v>20</v>
      </c>
      <c r="AK49" s="1816">
        <f t="shared" si="340"/>
        <v>12</v>
      </c>
      <c r="AL49" s="1816">
        <f t="shared" si="340"/>
        <v>0</v>
      </c>
      <c r="AM49" s="1816">
        <f>SUM(AM11:AM48)</f>
        <v>0</v>
      </c>
      <c r="AN49" s="1816">
        <f>SUM(AN11:AN48)</f>
        <v>0</v>
      </c>
      <c r="AO49" s="1816">
        <f>SUM(AO11:AO48)</f>
        <v>0</v>
      </c>
      <c r="AP49" s="1816">
        <f>SUM(AP11:AP48)</f>
        <v>0</v>
      </c>
      <c r="AQ49" s="1816">
        <f>SUM(AQ11:AQ48)</f>
        <v>0</v>
      </c>
      <c r="AR49" s="1816">
        <f t="shared" si="339"/>
        <v>0</v>
      </c>
      <c r="AS49" s="1816">
        <f t="shared" si="339"/>
        <v>0</v>
      </c>
      <c r="AT49" s="1816">
        <f t="shared" si="339"/>
        <v>0</v>
      </c>
      <c r="AU49" s="1816">
        <f t="shared" si="339"/>
        <v>0</v>
      </c>
      <c r="AV49" s="1816">
        <f t="shared" si="339"/>
        <v>0</v>
      </c>
      <c r="AW49" s="1816">
        <f t="shared" si="339"/>
        <v>0</v>
      </c>
      <c r="AX49" s="1816">
        <f t="shared" si="339"/>
        <v>10</v>
      </c>
      <c r="AY49" s="1816">
        <f t="shared" si="339"/>
        <v>6</v>
      </c>
      <c r="AZ49" s="1816">
        <f t="shared" si="339"/>
        <v>4</v>
      </c>
      <c r="BA49" s="1816">
        <f t="shared" si="339"/>
        <v>0</v>
      </c>
      <c r="BB49" s="1816">
        <f>SUM(BB11:BB48)</f>
        <v>0</v>
      </c>
      <c r="BC49" s="1816">
        <f>SUM(BC11:BC48)</f>
        <v>0</v>
      </c>
      <c r="BD49" s="1816">
        <f>SUM(BD11:BD48)</f>
        <v>0</v>
      </c>
      <c r="BE49" s="1816">
        <f>SUM(BE11:BE48)</f>
        <v>0</v>
      </c>
      <c r="BF49" s="1816">
        <f>SUM(BF11:BF48)</f>
        <v>0</v>
      </c>
      <c r="BG49" s="1816">
        <f t="shared" si="339"/>
        <v>0</v>
      </c>
      <c r="BH49" s="1816">
        <f t="shared" si="339"/>
        <v>0</v>
      </c>
      <c r="BI49" s="1816">
        <f t="shared" si="339"/>
        <v>0</v>
      </c>
      <c r="BJ49" s="1816">
        <f t="shared" si="339"/>
        <v>0</v>
      </c>
      <c r="BK49" s="1816">
        <f t="shared" si="339"/>
        <v>0</v>
      </c>
      <c r="BL49" s="1816">
        <f>SUM(BL11:BL48)</f>
        <v>0</v>
      </c>
      <c r="BM49" s="1816">
        <f>SUM(BM11:BM48)</f>
        <v>0</v>
      </c>
      <c r="BN49" s="1816">
        <f>SUM(BN11:BN48)</f>
        <v>0</v>
      </c>
      <c r="BO49" s="1816">
        <f>SUM(BO11:BO48)</f>
        <v>0</v>
      </c>
      <c r="BP49" s="1816">
        <f>SUM(BP11:BP48)</f>
        <v>0</v>
      </c>
      <c r="BQ49" s="1816">
        <f t="shared" si="339"/>
        <v>0</v>
      </c>
      <c r="BR49" s="1816">
        <f t="shared" si="339"/>
        <v>10</v>
      </c>
      <c r="BS49" s="1816">
        <f t="shared" si="339"/>
        <v>6</v>
      </c>
      <c r="BT49" s="1816">
        <f t="shared" si="339"/>
        <v>4</v>
      </c>
      <c r="BU49" s="1816">
        <f t="shared" si="339"/>
        <v>0</v>
      </c>
      <c r="BV49" s="1816">
        <f>SUM(BV11:BV48)</f>
        <v>0</v>
      </c>
      <c r="BW49" s="1816">
        <f>SUM(BW11:BW48)</f>
        <v>0</v>
      </c>
      <c r="BX49" s="1816">
        <f>SUM(BX11:BX48)</f>
        <v>0</v>
      </c>
      <c r="BY49" s="1816">
        <f>SUM(BY11:BY48)</f>
        <v>0</v>
      </c>
      <c r="BZ49" s="1816">
        <f>SUM(BZ11:BZ48)</f>
        <v>0</v>
      </c>
      <c r="CA49" s="1816">
        <f t="shared" si="339"/>
        <v>0</v>
      </c>
      <c r="CB49" s="1816">
        <f t="shared" si="339"/>
        <v>0</v>
      </c>
      <c r="CC49" s="1816">
        <f t="shared" si="339"/>
        <v>0</v>
      </c>
      <c r="CD49" s="1816">
        <f t="shared" si="339"/>
        <v>0</v>
      </c>
      <c r="CE49" s="1816">
        <f t="shared" si="339"/>
        <v>0</v>
      </c>
      <c r="CF49" s="1816">
        <f t="shared" si="339"/>
        <v>0</v>
      </c>
      <c r="CG49" s="1816">
        <f t="shared" si="339"/>
        <v>35</v>
      </c>
      <c r="CH49" s="1816">
        <f t="shared" si="339"/>
        <v>20</v>
      </c>
      <c r="CI49" s="1816">
        <f t="shared" si="339"/>
        <v>12</v>
      </c>
      <c r="CJ49" s="1816">
        <f t="shared" si="339"/>
        <v>0</v>
      </c>
      <c r="CK49" s="1816">
        <f>SUM(CK11:CK48)</f>
        <v>0</v>
      </c>
      <c r="CL49" s="1816">
        <f>SUM(CL11:CL48)</f>
        <v>0</v>
      </c>
      <c r="CM49" s="1816">
        <f>SUM(CM11:CM48)</f>
        <v>0</v>
      </c>
      <c r="CN49" s="1816">
        <f>SUM(CN11:CN48)</f>
        <v>0</v>
      </c>
      <c r="CO49" s="1816">
        <f>SUM(CO11:CO48)</f>
        <v>0</v>
      </c>
      <c r="CP49" s="1816">
        <f t="shared" ref="CP49:CY49" si="341">SUM(CP11:CP48)</f>
        <v>0</v>
      </c>
      <c r="CQ49" s="1816">
        <f t="shared" si="341"/>
        <v>4</v>
      </c>
      <c r="CR49" s="1816">
        <f t="shared" si="341"/>
        <v>3</v>
      </c>
      <c r="CS49" s="1816">
        <f t="shared" si="341"/>
        <v>1</v>
      </c>
      <c r="CT49" s="1816">
        <f t="shared" si="341"/>
        <v>0</v>
      </c>
      <c r="CU49" s="1816">
        <f t="shared" si="341"/>
        <v>0</v>
      </c>
      <c r="CV49" s="1816">
        <f t="shared" si="341"/>
        <v>0</v>
      </c>
      <c r="CW49" s="1816">
        <f t="shared" si="341"/>
        <v>0</v>
      </c>
      <c r="CX49" s="1816">
        <f t="shared" si="341"/>
        <v>0</v>
      </c>
      <c r="CY49" s="1816">
        <f t="shared" si="341"/>
        <v>0</v>
      </c>
      <c r="CZ49" s="1816">
        <f t="shared" si="339"/>
        <v>0</v>
      </c>
      <c r="DA49" s="1816">
        <f t="shared" si="339"/>
        <v>0</v>
      </c>
      <c r="DB49" s="1816">
        <f t="shared" si="339"/>
        <v>0</v>
      </c>
      <c r="DC49" s="1816">
        <f t="shared" si="339"/>
        <v>0</v>
      </c>
      <c r="DD49" s="1816">
        <f t="shared" si="339"/>
        <v>0</v>
      </c>
      <c r="DE49" s="1816">
        <f t="shared" si="339"/>
        <v>0</v>
      </c>
      <c r="DF49" s="1816">
        <f t="shared" si="339"/>
        <v>0</v>
      </c>
      <c r="DG49" s="1816">
        <f t="shared" si="339"/>
        <v>0</v>
      </c>
      <c r="DH49" s="1816">
        <f t="shared" si="339"/>
        <v>0</v>
      </c>
      <c r="DI49" s="1816">
        <f t="shared" si="339"/>
        <v>0</v>
      </c>
      <c r="DJ49" s="1816">
        <f t="shared" si="339"/>
        <v>0</v>
      </c>
      <c r="DK49" s="1816">
        <f t="shared" si="339"/>
        <v>0</v>
      </c>
      <c r="DL49" s="1816">
        <f t="shared" si="339"/>
        <v>0</v>
      </c>
      <c r="DM49" s="1816">
        <f t="shared" si="339"/>
        <v>0</v>
      </c>
      <c r="DN49" s="1816">
        <f t="shared" si="339"/>
        <v>0</v>
      </c>
      <c r="DO49" s="1816">
        <f t="shared" si="339"/>
        <v>0</v>
      </c>
      <c r="DP49" s="1816">
        <f t="shared" si="339"/>
        <v>0</v>
      </c>
      <c r="DQ49" s="1816">
        <f t="shared" si="339"/>
        <v>0</v>
      </c>
      <c r="DR49" s="1816">
        <f t="shared" si="339"/>
        <v>0</v>
      </c>
      <c r="DS49" s="1816">
        <f t="shared" si="339"/>
        <v>0</v>
      </c>
      <c r="DT49" s="1816">
        <f t="shared" ref="DT49:EC49" si="342">SUM(DT11:DT48)</f>
        <v>0</v>
      </c>
      <c r="DU49" s="1816">
        <f t="shared" si="342"/>
        <v>0</v>
      </c>
      <c r="DV49" s="1816">
        <f t="shared" si="342"/>
        <v>0</v>
      </c>
      <c r="DW49" s="1816">
        <f t="shared" si="342"/>
        <v>0</v>
      </c>
      <c r="DX49" s="1816">
        <f t="shared" si="342"/>
        <v>0</v>
      </c>
      <c r="DY49" s="1816">
        <f t="shared" si="342"/>
        <v>0</v>
      </c>
      <c r="DZ49" s="1816">
        <f t="shared" si="342"/>
        <v>0</v>
      </c>
      <c r="EA49" s="1816">
        <f t="shared" si="342"/>
        <v>0</v>
      </c>
      <c r="EB49" s="1816">
        <f t="shared" si="342"/>
        <v>0</v>
      </c>
      <c r="EC49" s="1816">
        <f t="shared" si="342"/>
        <v>0</v>
      </c>
      <c r="ED49" s="1816">
        <f t="shared" si="339"/>
        <v>0</v>
      </c>
      <c r="EE49" s="1816">
        <f t="shared" si="339"/>
        <v>0</v>
      </c>
      <c r="EF49" s="1816">
        <f t="shared" si="339"/>
        <v>0</v>
      </c>
      <c r="EG49" s="1816">
        <f t="shared" si="339"/>
        <v>0</v>
      </c>
      <c r="EH49" s="1816">
        <f t="shared" si="339"/>
        <v>0</v>
      </c>
      <c r="EI49" s="1816">
        <f t="shared" si="339"/>
        <v>0</v>
      </c>
      <c r="EJ49" s="1816">
        <f t="shared" si="339"/>
        <v>2600</v>
      </c>
      <c r="EK49" s="1816">
        <f t="shared" si="339"/>
        <v>2550</v>
      </c>
      <c r="EL49" s="1816">
        <f t="shared" si="339"/>
        <v>1100</v>
      </c>
      <c r="EM49" s="1816">
        <f t="shared" si="339"/>
        <v>0</v>
      </c>
      <c r="EN49" s="1816">
        <f t="shared" ref="EN49:EW49" si="343">SUM(EN11:EN48)</f>
        <v>0</v>
      </c>
      <c r="EO49" s="1816">
        <f t="shared" si="343"/>
        <v>0</v>
      </c>
      <c r="EP49" s="1816">
        <f t="shared" si="343"/>
        <v>0</v>
      </c>
      <c r="EQ49" s="1816">
        <f t="shared" si="343"/>
        <v>0</v>
      </c>
      <c r="ER49" s="1816">
        <f t="shared" si="343"/>
        <v>0</v>
      </c>
      <c r="ES49" s="1816">
        <f t="shared" si="343"/>
        <v>0</v>
      </c>
      <c r="ET49" s="1816">
        <f t="shared" si="343"/>
        <v>22750</v>
      </c>
      <c r="EU49" s="1816">
        <f t="shared" si="343"/>
        <v>17000</v>
      </c>
      <c r="EV49" s="1816">
        <f t="shared" si="343"/>
        <v>13200</v>
      </c>
      <c r="EW49" s="1816">
        <f t="shared" si="343"/>
        <v>0</v>
      </c>
      <c r="EX49" s="1816">
        <f t="shared" si="339"/>
        <v>0</v>
      </c>
      <c r="EY49" s="1816">
        <f t="shared" si="339"/>
        <v>0</v>
      </c>
      <c r="EZ49" s="1816">
        <f t="shared" si="339"/>
        <v>0</v>
      </c>
      <c r="FA49" s="1816">
        <f t="shared" si="339"/>
        <v>0</v>
      </c>
      <c r="FB49" s="1816">
        <f t="shared" ref="FB49:HW49" si="344">SUM(FB11:FB48)</f>
        <v>0</v>
      </c>
      <c r="FC49" s="1816">
        <f>SUM(FC11:FC48)</f>
        <v>0</v>
      </c>
      <c r="FD49" s="1816">
        <f>SUM(FD11:FD48)</f>
        <v>0</v>
      </c>
      <c r="FE49" s="1816">
        <f>SUM(FE11:FE48)</f>
        <v>0</v>
      </c>
      <c r="FF49" s="1816">
        <f>SUM(FF11:FF48)</f>
        <v>0</v>
      </c>
      <c r="FG49" s="1816">
        <f>SUM(FG11:FG48)</f>
        <v>0</v>
      </c>
      <c r="FH49" s="1816">
        <f t="shared" si="344"/>
        <v>0</v>
      </c>
      <c r="FI49" s="1816">
        <f t="shared" si="344"/>
        <v>6500</v>
      </c>
      <c r="FJ49" s="1816">
        <f t="shared" si="344"/>
        <v>5100</v>
      </c>
      <c r="FK49" s="1816">
        <f t="shared" si="344"/>
        <v>4400</v>
      </c>
      <c r="FL49" s="1816">
        <f t="shared" si="344"/>
        <v>0</v>
      </c>
      <c r="FM49" s="1816">
        <f>SUM(FM11:FM48)</f>
        <v>0</v>
      </c>
      <c r="FN49" s="1816">
        <f>SUM(FN11:FN48)</f>
        <v>0</v>
      </c>
      <c r="FO49" s="1816">
        <f>SUM(FO11:FO48)</f>
        <v>0</v>
      </c>
      <c r="FP49" s="1816">
        <f>SUM(FP11:FP48)</f>
        <v>0</v>
      </c>
      <c r="FQ49" s="1816">
        <f>SUM(FQ11:FQ48)</f>
        <v>0</v>
      </c>
      <c r="FR49" s="1816">
        <f t="shared" si="344"/>
        <v>0</v>
      </c>
      <c r="FS49" s="1816">
        <f t="shared" si="344"/>
        <v>0</v>
      </c>
      <c r="FT49" s="1816">
        <f t="shared" si="344"/>
        <v>0</v>
      </c>
      <c r="FU49" s="1816">
        <f t="shared" si="344"/>
        <v>0</v>
      </c>
      <c r="FV49" s="1816">
        <f t="shared" si="344"/>
        <v>0</v>
      </c>
      <c r="FW49" s="1816">
        <f t="shared" si="344"/>
        <v>0</v>
      </c>
      <c r="FX49" s="1816">
        <f t="shared" si="344"/>
        <v>31850</v>
      </c>
      <c r="FY49" s="1816">
        <f t="shared" si="344"/>
        <v>24650</v>
      </c>
      <c r="FZ49" s="1816">
        <f t="shared" si="344"/>
        <v>18700</v>
      </c>
      <c r="GA49" s="1816">
        <f t="shared" si="344"/>
        <v>0</v>
      </c>
      <c r="GB49" s="1816">
        <f t="shared" si="344"/>
        <v>0</v>
      </c>
      <c r="GC49" s="1816">
        <f t="shared" si="344"/>
        <v>0</v>
      </c>
      <c r="GD49" s="1816">
        <f t="shared" si="344"/>
        <v>0</v>
      </c>
      <c r="GE49" s="1816">
        <f t="shared" si="344"/>
        <v>0</v>
      </c>
      <c r="GF49" s="1816">
        <f t="shared" si="344"/>
        <v>0</v>
      </c>
      <c r="GG49" s="1816">
        <f t="shared" si="344"/>
        <v>0</v>
      </c>
      <c r="GH49" s="1816">
        <f t="shared" si="344"/>
        <v>49</v>
      </c>
      <c r="GI49" s="1816">
        <f t="shared" si="344"/>
        <v>29</v>
      </c>
      <c r="GJ49" s="1816">
        <f t="shared" si="344"/>
        <v>17</v>
      </c>
      <c r="GK49" s="1816">
        <f t="shared" si="344"/>
        <v>0</v>
      </c>
      <c r="GL49" s="1816">
        <f t="shared" si="344"/>
        <v>0</v>
      </c>
      <c r="GM49" s="1816">
        <f t="shared" si="344"/>
        <v>0</v>
      </c>
      <c r="GN49" s="1816">
        <f t="shared" si="344"/>
        <v>0</v>
      </c>
      <c r="GO49" s="1816">
        <f t="shared" si="344"/>
        <v>0</v>
      </c>
      <c r="GP49" s="1816">
        <f t="shared" si="344"/>
        <v>0</v>
      </c>
      <c r="GQ49" s="1816">
        <f t="shared" si="344"/>
        <v>0</v>
      </c>
      <c r="GR49" s="1816">
        <f t="shared" si="344"/>
        <v>0</v>
      </c>
      <c r="GS49" s="1816">
        <f t="shared" si="344"/>
        <v>0</v>
      </c>
      <c r="GT49" s="1816">
        <f t="shared" si="344"/>
        <v>0</v>
      </c>
      <c r="GU49" s="1816">
        <f t="shared" si="344"/>
        <v>0</v>
      </c>
      <c r="GV49" s="1816">
        <f t="shared" si="344"/>
        <v>0</v>
      </c>
      <c r="GW49" s="1816">
        <f t="shared" si="344"/>
        <v>0</v>
      </c>
      <c r="GX49" s="1816">
        <f t="shared" si="344"/>
        <v>0</v>
      </c>
      <c r="GY49" s="1816">
        <f t="shared" si="344"/>
        <v>0</v>
      </c>
      <c r="GZ49" s="1816">
        <f t="shared" si="344"/>
        <v>0</v>
      </c>
      <c r="HA49" s="1816">
        <f t="shared" si="344"/>
        <v>0</v>
      </c>
      <c r="HB49" s="1816">
        <f t="shared" si="344"/>
        <v>0</v>
      </c>
      <c r="HC49" s="1816">
        <f t="shared" si="344"/>
        <v>0</v>
      </c>
      <c r="HD49" s="1816">
        <f t="shared" si="344"/>
        <v>0</v>
      </c>
      <c r="HE49" s="1816">
        <f t="shared" si="344"/>
        <v>0</v>
      </c>
      <c r="HF49" s="1816">
        <f t="shared" si="344"/>
        <v>0</v>
      </c>
      <c r="HG49" s="1816">
        <f t="shared" si="344"/>
        <v>0</v>
      </c>
      <c r="HH49" s="1816">
        <f t="shared" si="344"/>
        <v>0</v>
      </c>
      <c r="HI49" s="1816">
        <f t="shared" si="344"/>
        <v>0</v>
      </c>
      <c r="HJ49" s="1816">
        <f t="shared" si="344"/>
        <v>0</v>
      </c>
      <c r="HK49" s="1816">
        <f t="shared" si="344"/>
        <v>0</v>
      </c>
      <c r="HL49" s="1816">
        <f t="shared" si="344"/>
        <v>0</v>
      </c>
      <c r="HM49" s="1816">
        <f t="shared" si="344"/>
        <v>0</v>
      </c>
      <c r="HN49" s="1816">
        <f t="shared" si="344"/>
        <v>0</v>
      </c>
      <c r="HO49" s="1816">
        <f t="shared" si="344"/>
        <v>0</v>
      </c>
      <c r="HP49" s="1816">
        <f t="shared" si="344"/>
        <v>0</v>
      </c>
      <c r="HQ49" s="1816">
        <f t="shared" si="344"/>
        <v>0</v>
      </c>
      <c r="HR49" s="1816">
        <f t="shared" si="344"/>
        <v>0</v>
      </c>
      <c r="HS49" s="1816">
        <f t="shared" si="344"/>
        <v>0</v>
      </c>
      <c r="HT49" s="1816">
        <f t="shared" si="344"/>
        <v>0</v>
      </c>
      <c r="HU49" s="1816">
        <f t="shared" si="344"/>
        <v>0</v>
      </c>
      <c r="HV49" s="1816">
        <f t="shared" si="344"/>
        <v>0</v>
      </c>
      <c r="HW49" s="1816">
        <f t="shared" si="344"/>
        <v>0</v>
      </c>
      <c r="HX49" s="1816">
        <f t="shared" ref="HX49:KG49" si="345">SUM(HX11:HX48)</f>
        <v>0</v>
      </c>
      <c r="HY49" s="1816">
        <f t="shared" si="345"/>
        <v>0</v>
      </c>
      <c r="HZ49" s="1816">
        <f t="shared" si="345"/>
        <v>0</v>
      </c>
      <c r="IA49" s="1816">
        <f t="shared" si="345"/>
        <v>49</v>
      </c>
      <c r="IB49" s="1816">
        <f t="shared" si="345"/>
        <v>29</v>
      </c>
      <c r="IC49" s="1816">
        <f t="shared" si="345"/>
        <v>17</v>
      </c>
      <c r="ID49" s="1816">
        <f t="shared" si="345"/>
        <v>0</v>
      </c>
      <c r="IE49" s="1816">
        <f t="shared" si="345"/>
        <v>0</v>
      </c>
      <c r="IF49" s="1816">
        <f t="shared" si="345"/>
        <v>0</v>
      </c>
      <c r="IG49" s="1816">
        <f t="shared" si="345"/>
        <v>0</v>
      </c>
      <c r="IH49" s="1816">
        <f t="shared" si="345"/>
        <v>0</v>
      </c>
      <c r="II49" s="1816">
        <f t="shared" si="345"/>
        <v>0</v>
      </c>
      <c r="IJ49" s="1816">
        <f t="shared" si="345"/>
        <v>0</v>
      </c>
      <c r="IK49" s="1816">
        <f t="shared" si="345"/>
        <v>0</v>
      </c>
      <c r="IL49" s="1816">
        <f t="shared" si="345"/>
        <v>0</v>
      </c>
      <c r="IM49" s="1816">
        <f t="shared" si="345"/>
        <v>0</v>
      </c>
      <c r="IN49" s="1816">
        <f t="shared" si="345"/>
        <v>0</v>
      </c>
      <c r="IO49" s="1816">
        <f t="shared" si="345"/>
        <v>0</v>
      </c>
      <c r="IP49" s="1816">
        <f t="shared" si="345"/>
        <v>0</v>
      </c>
      <c r="IQ49" s="1816">
        <f t="shared" si="345"/>
        <v>0</v>
      </c>
      <c r="IR49" s="1816">
        <f t="shared" si="345"/>
        <v>0</v>
      </c>
      <c r="IS49" s="1816">
        <f t="shared" si="345"/>
        <v>0</v>
      </c>
      <c r="IT49" s="1816">
        <f t="shared" si="345"/>
        <v>0</v>
      </c>
      <c r="IU49" s="1816">
        <f t="shared" si="345"/>
        <v>0</v>
      </c>
      <c r="IV49" s="1816">
        <f t="shared" si="345"/>
        <v>0</v>
      </c>
      <c r="IW49" s="1816">
        <f t="shared" si="345"/>
        <v>0</v>
      </c>
      <c r="IX49" s="1816">
        <f t="shared" si="345"/>
        <v>0</v>
      </c>
      <c r="IY49" s="1816">
        <f t="shared" si="345"/>
        <v>0</v>
      </c>
      <c r="IZ49" s="1816">
        <f t="shared" si="345"/>
        <v>0</v>
      </c>
      <c r="JA49" s="1816">
        <f t="shared" si="345"/>
        <v>0</v>
      </c>
      <c r="JB49" s="1816">
        <f t="shared" si="345"/>
        <v>0</v>
      </c>
      <c r="JC49" s="1816">
        <f t="shared" si="345"/>
        <v>0</v>
      </c>
      <c r="JD49" s="1816">
        <f t="shared" si="345"/>
        <v>0</v>
      </c>
      <c r="JE49" s="1816">
        <f t="shared" si="345"/>
        <v>0</v>
      </c>
      <c r="JF49" s="1816">
        <f t="shared" si="345"/>
        <v>0</v>
      </c>
      <c r="JG49" s="1816">
        <f t="shared" si="345"/>
        <v>0</v>
      </c>
      <c r="JH49" s="1816">
        <f t="shared" si="345"/>
        <v>0</v>
      </c>
      <c r="JI49" s="1816">
        <f t="shared" si="345"/>
        <v>0</v>
      </c>
      <c r="JJ49" s="1816">
        <f t="shared" si="345"/>
        <v>0</v>
      </c>
      <c r="JK49" s="1816">
        <f t="shared" si="345"/>
        <v>0</v>
      </c>
      <c r="JL49" s="1816">
        <f t="shared" si="345"/>
        <v>0</v>
      </c>
      <c r="JM49" s="1816">
        <f t="shared" si="345"/>
        <v>0</v>
      </c>
      <c r="JN49" s="1816">
        <f t="shared" si="345"/>
        <v>0</v>
      </c>
      <c r="JO49" s="1816">
        <f t="shared" si="345"/>
        <v>0</v>
      </c>
      <c r="JP49" s="1816">
        <f t="shared" si="345"/>
        <v>0</v>
      </c>
      <c r="JQ49" s="1816">
        <f t="shared" si="345"/>
        <v>0</v>
      </c>
      <c r="JR49" s="1816">
        <f t="shared" si="345"/>
        <v>0</v>
      </c>
      <c r="JS49" s="1816">
        <f t="shared" si="345"/>
        <v>0</v>
      </c>
      <c r="JT49" s="1816">
        <f t="shared" si="345"/>
        <v>49</v>
      </c>
      <c r="JU49" s="1816">
        <f t="shared" si="345"/>
        <v>29</v>
      </c>
      <c r="JV49" s="1816">
        <f t="shared" si="345"/>
        <v>17</v>
      </c>
      <c r="JW49" s="1816">
        <f t="shared" si="345"/>
        <v>0</v>
      </c>
      <c r="JX49" s="1816">
        <f t="shared" ref="JX49:KB49" si="346">SUM(JX11:JX48)</f>
        <v>0</v>
      </c>
      <c r="JY49" s="1816">
        <f t="shared" si="346"/>
        <v>0</v>
      </c>
      <c r="JZ49" s="1816">
        <f t="shared" si="346"/>
        <v>0</v>
      </c>
      <c r="KA49" s="1816">
        <f t="shared" si="346"/>
        <v>0</v>
      </c>
      <c r="KB49" s="1816">
        <f t="shared" si="346"/>
        <v>0</v>
      </c>
      <c r="KC49" s="1816">
        <f t="shared" si="345"/>
        <v>0</v>
      </c>
      <c r="KD49" s="1816">
        <f t="shared" si="345"/>
        <v>0</v>
      </c>
      <c r="KE49" s="1816">
        <f t="shared" si="345"/>
        <v>0</v>
      </c>
      <c r="KF49" s="1816">
        <f t="shared" si="345"/>
        <v>0</v>
      </c>
      <c r="KG49" s="1816">
        <f t="shared" si="345"/>
        <v>0</v>
      </c>
      <c r="KH49" s="1816">
        <f t="shared" ref="KH49:KL49" si="347">SUM(KH11:KH48)</f>
        <v>0</v>
      </c>
      <c r="KI49" s="1816">
        <f t="shared" si="347"/>
        <v>0</v>
      </c>
      <c r="KJ49" s="1816">
        <f t="shared" si="347"/>
        <v>0</v>
      </c>
      <c r="KK49" s="1816">
        <f t="shared" si="347"/>
        <v>0</v>
      </c>
      <c r="KL49" s="1816">
        <f t="shared" si="347"/>
        <v>0</v>
      </c>
      <c r="KM49" s="1816">
        <f t="shared" ref="KM49:LA49" si="348">SUM(KM11:KM48)</f>
        <v>0</v>
      </c>
      <c r="KN49" s="1816">
        <f t="shared" si="348"/>
        <v>0</v>
      </c>
      <c r="KO49" s="1816">
        <f t="shared" si="348"/>
        <v>0</v>
      </c>
      <c r="KP49" s="1816">
        <f t="shared" si="348"/>
        <v>0</v>
      </c>
      <c r="KQ49" s="1816">
        <f t="shared" si="348"/>
        <v>0</v>
      </c>
      <c r="KR49" s="1816">
        <f t="shared" ref="KR49:KV49" si="349">SUM(KR11:KR48)</f>
        <v>0</v>
      </c>
      <c r="KS49" s="1816">
        <f t="shared" si="349"/>
        <v>0</v>
      </c>
      <c r="KT49" s="1816">
        <f t="shared" si="349"/>
        <v>0</v>
      </c>
      <c r="KU49" s="1816">
        <f t="shared" si="349"/>
        <v>0</v>
      </c>
      <c r="KV49" s="1816">
        <f t="shared" si="349"/>
        <v>0</v>
      </c>
      <c r="KW49" s="1816">
        <f t="shared" si="348"/>
        <v>0</v>
      </c>
      <c r="KX49" s="1816">
        <f t="shared" si="348"/>
        <v>0</v>
      </c>
      <c r="KY49" s="1816">
        <f t="shared" si="348"/>
        <v>0</v>
      </c>
      <c r="KZ49" s="1816">
        <f t="shared" si="348"/>
        <v>0</v>
      </c>
      <c r="LA49" s="1816">
        <f t="shared" si="348"/>
        <v>0</v>
      </c>
      <c r="LB49" s="1816">
        <f t="shared" ref="LB49:LF49" si="350">SUM(LB11:LB48)</f>
        <v>0</v>
      </c>
      <c r="LC49" s="1816">
        <f t="shared" si="350"/>
        <v>0</v>
      </c>
      <c r="LD49" s="1816">
        <f t="shared" si="350"/>
        <v>0</v>
      </c>
      <c r="LE49" s="1816">
        <f t="shared" si="350"/>
        <v>0</v>
      </c>
      <c r="LF49" s="1816">
        <f t="shared" si="350"/>
        <v>0</v>
      </c>
      <c r="LG49" s="1816">
        <f t="shared" ref="LG49:MU49" si="351">SUM(LG11:LG48)</f>
        <v>0</v>
      </c>
      <c r="LH49" s="1816">
        <f t="shared" si="351"/>
        <v>0</v>
      </c>
      <c r="LI49" s="1816">
        <f t="shared" si="351"/>
        <v>0</v>
      </c>
      <c r="LJ49" s="1816">
        <f t="shared" si="351"/>
        <v>0</v>
      </c>
      <c r="LK49" s="1816">
        <f t="shared" si="351"/>
        <v>0</v>
      </c>
      <c r="LL49" s="1816">
        <f t="shared" si="351"/>
        <v>0</v>
      </c>
      <c r="LM49" s="1816">
        <f t="shared" si="351"/>
        <v>0</v>
      </c>
      <c r="LN49" s="1816">
        <f t="shared" si="351"/>
        <v>0</v>
      </c>
      <c r="LO49" s="1816">
        <f t="shared" si="351"/>
        <v>0</v>
      </c>
      <c r="LP49" s="1816">
        <f t="shared" si="351"/>
        <v>0</v>
      </c>
      <c r="LQ49" s="1816">
        <f t="shared" si="351"/>
        <v>0</v>
      </c>
      <c r="LR49" s="1816">
        <f t="shared" si="351"/>
        <v>0</v>
      </c>
      <c r="LS49" s="1816">
        <f t="shared" si="351"/>
        <v>0</v>
      </c>
      <c r="LT49" s="1816">
        <f t="shared" si="351"/>
        <v>0</v>
      </c>
      <c r="LU49" s="1816">
        <f t="shared" si="351"/>
        <v>0</v>
      </c>
      <c r="LV49" s="1816">
        <f t="shared" si="351"/>
        <v>0</v>
      </c>
      <c r="LW49" s="1816">
        <f t="shared" si="351"/>
        <v>0</v>
      </c>
      <c r="LX49" s="1816">
        <f t="shared" si="351"/>
        <v>0</v>
      </c>
      <c r="LY49" s="1816">
        <f t="shared" si="351"/>
        <v>0</v>
      </c>
      <c r="LZ49" s="1816">
        <f t="shared" si="351"/>
        <v>0</v>
      </c>
      <c r="MA49" s="1816">
        <f t="shared" si="351"/>
        <v>0</v>
      </c>
      <c r="MB49" s="1816">
        <f t="shared" si="351"/>
        <v>0</v>
      </c>
      <c r="MC49" s="1816">
        <f t="shared" si="351"/>
        <v>0</v>
      </c>
      <c r="MD49" s="1816">
        <f t="shared" si="351"/>
        <v>0</v>
      </c>
      <c r="ME49" s="1816">
        <f t="shared" si="351"/>
        <v>0</v>
      </c>
      <c r="MF49" s="1816">
        <f t="shared" si="351"/>
        <v>0</v>
      </c>
      <c r="MG49" s="1816">
        <f t="shared" si="351"/>
        <v>0</v>
      </c>
      <c r="MH49" s="1816">
        <f t="shared" si="351"/>
        <v>0</v>
      </c>
      <c r="MI49" s="1816">
        <f t="shared" si="351"/>
        <v>0</v>
      </c>
      <c r="MJ49" s="1816">
        <f t="shared" si="351"/>
        <v>0</v>
      </c>
      <c r="MK49" s="1816">
        <f t="shared" si="351"/>
        <v>0</v>
      </c>
      <c r="ML49" s="1816">
        <f t="shared" si="351"/>
        <v>49</v>
      </c>
      <c r="MM49" s="1816">
        <f t="shared" si="351"/>
        <v>29</v>
      </c>
      <c r="MN49" s="1816">
        <f t="shared" si="351"/>
        <v>17</v>
      </c>
      <c r="MO49" s="1816">
        <f t="shared" si="351"/>
        <v>0</v>
      </c>
      <c r="MP49" s="1816">
        <f t="shared" si="351"/>
        <v>0</v>
      </c>
      <c r="MQ49" s="1816">
        <f t="shared" si="351"/>
        <v>0</v>
      </c>
      <c r="MR49" s="1816">
        <f t="shared" si="351"/>
        <v>0</v>
      </c>
      <c r="MS49" s="1816">
        <f t="shared" si="351"/>
        <v>0</v>
      </c>
      <c r="MT49" s="1816">
        <f t="shared" si="351"/>
        <v>0</v>
      </c>
      <c r="MU49" s="1816">
        <f t="shared" si="351"/>
        <v>0</v>
      </c>
      <c r="NP49" s="2805" t="s">
        <v>6754</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55.368421052631582</v>
      </c>
      <c r="C50" s="3868"/>
      <c r="D50" s="2648" t="s">
        <v>3828</v>
      </c>
      <c r="E50" s="1191">
        <f>SUM(E18:E48)</f>
        <v>95</v>
      </c>
      <c r="F50" s="1193">
        <f>(E18*F18+E19*F19+E20*F20+E21*F21+E22*F22+E23*F23+E24*F24+E25*F25+E26*F26+E27*F27+E28*F28+E29*F29+E30*F30+E31*F31+E32*F32+E33*F33+E34*F34+E35*F35+E36*F36+E37*F37+E38*F38+E39*F39+E40*F40+E41*F41+E42*F42+E43*F43+E44*F44+E45*F45+E46*F46+E47*F47+E48*F48)</f>
        <v>75200</v>
      </c>
      <c r="H50" s="3922"/>
      <c r="I50" s="2906" t="s">
        <v>3920</v>
      </c>
      <c r="J50" s="1196" t="str">
        <f>IF(P67=0,"",IF(SUM(P59:P62)/P67&gt;=0.2,"Pass","Fail"))</f>
        <v>Pass</v>
      </c>
      <c r="K50" s="521"/>
      <c r="L50" s="137" t="s">
        <v>781</v>
      </c>
      <c r="M50" s="122">
        <f>M49*12</f>
        <v>793666.32000000007</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5" t="s">
        <v>6755</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7"/>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7"/>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6818</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4282</v>
      </c>
      <c r="B56" s="3917"/>
      <c r="C56" s="93" t="s">
        <v>1095</v>
      </c>
      <c r="D56" s="1"/>
      <c r="E56" s="1"/>
      <c r="F56" s="1"/>
      <c r="G56" s="82"/>
      <c r="H56" s="109" t="s">
        <v>3829</v>
      </c>
      <c r="I56" s="36"/>
      <c r="J56" s="82"/>
      <c r="K56" s="1200">
        <f>X49</f>
        <v>0</v>
      </c>
      <c r="L56" s="1201">
        <f>Y49</f>
        <v>4</v>
      </c>
      <c r="M56" s="1201">
        <f>Z49</f>
        <v>3</v>
      </c>
      <c r="N56" s="1201">
        <f>AA49</f>
        <v>1</v>
      </c>
      <c r="O56" s="1202">
        <f>AB49</f>
        <v>0</v>
      </c>
      <c r="P56" s="837">
        <f t="shared" ref="P56:P67" si="352">SUM(K56:O56)</f>
        <v>8</v>
      </c>
      <c r="Q56" s="3845" t="s">
        <v>3308</v>
      </c>
      <c r="R56" s="2659"/>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3830</v>
      </c>
      <c r="I57" s="36"/>
      <c r="J57" s="82"/>
      <c r="K57" s="1203">
        <f>AC49</f>
        <v>0</v>
      </c>
      <c r="L57" s="1204">
        <f>AD49</f>
        <v>0</v>
      </c>
      <c r="M57" s="1204">
        <f>AE49</f>
        <v>0</v>
      </c>
      <c r="N57" s="1204">
        <f>AF49</f>
        <v>0</v>
      </c>
      <c r="O57" s="1205">
        <f>AG49</f>
        <v>0</v>
      </c>
      <c r="P57" s="833">
        <f t="shared" si="352"/>
        <v>0</v>
      </c>
      <c r="Q57" s="3845"/>
      <c r="R57" s="2659"/>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35</v>
      </c>
      <c r="M58" s="1204">
        <f>AJ49</f>
        <v>20</v>
      </c>
      <c r="N58" s="1204">
        <f>AK49</f>
        <v>12</v>
      </c>
      <c r="O58" s="1205">
        <f>AL49</f>
        <v>0</v>
      </c>
      <c r="P58" s="833">
        <f t="shared" si="352"/>
        <v>67</v>
      </c>
      <c r="Q58" s="3845"/>
      <c r="R58" s="2659"/>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0</v>
      </c>
      <c r="M59" s="1225">
        <f>AO49</f>
        <v>0</v>
      </c>
      <c r="N59" s="1225">
        <f>AP49</f>
        <v>0</v>
      </c>
      <c r="O59" s="1226">
        <f>AQ49</f>
        <v>0</v>
      </c>
      <c r="P59" s="542">
        <f t="shared" si="352"/>
        <v>0</v>
      </c>
      <c r="Q59" s="3845"/>
      <c r="R59" s="2659"/>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3831</v>
      </c>
      <c r="I60" s="52"/>
      <c r="J60" s="982"/>
      <c r="K60" s="1203">
        <f>AR49</f>
        <v>0</v>
      </c>
      <c r="L60" s="1204">
        <f>AS49</f>
        <v>0</v>
      </c>
      <c r="M60" s="1204">
        <f>AT49</f>
        <v>0</v>
      </c>
      <c r="N60" s="1204">
        <f>AU49</f>
        <v>0</v>
      </c>
      <c r="O60" s="1205">
        <f>AV49</f>
        <v>0</v>
      </c>
      <c r="P60" s="833">
        <f t="shared" si="352"/>
        <v>0</v>
      </c>
      <c r="Q60" s="3845"/>
      <c r="R60" s="2659"/>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3832</v>
      </c>
      <c r="I61" s="36"/>
      <c r="J61" s="82"/>
      <c r="K61" s="1203">
        <f>AW49</f>
        <v>0</v>
      </c>
      <c r="L61" s="1204">
        <f>AX49</f>
        <v>10</v>
      </c>
      <c r="M61" s="1204">
        <f>AY49</f>
        <v>6</v>
      </c>
      <c r="N61" s="1204">
        <f>AZ49</f>
        <v>4</v>
      </c>
      <c r="O61" s="1205">
        <f>BA49</f>
        <v>0</v>
      </c>
      <c r="P61" s="833">
        <f t="shared" si="352"/>
        <v>20</v>
      </c>
      <c r="Q61" s="3845"/>
      <c r="R61" s="2659"/>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3833</v>
      </c>
      <c r="I62" s="36"/>
      <c r="J62" s="82"/>
      <c r="K62" s="1206">
        <f>BB49</f>
        <v>0</v>
      </c>
      <c r="L62" s="1207">
        <f>BC49</f>
        <v>0</v>
      </c>
      <c r="M62" s="1207">
        <f>BD49</f>
        <v>0</v>
      </c>
      <c r="N62" s="1207">
        <f>BE49</f>
        <v>0</v>
      </c>
      <c r="O62" s="1208">
        <f>BF49</f>
        <v>0</v>
      </c>
      <c r="P62" s="542">
        <f t="shared" si="352"/>
        <v>0</v>
      </c>
      <c r="Q62" s="3845"/>
      <c r="R62" s="2659"/>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3915</v>
      </c>
      <c r="D63" s="1"/>
      <c r="E63" s="1"/>
      <c r="F63" s="1"/>
      <c r="G63" s="82"/>
      <c r="H63" s="89"/>
      <c r="I63" s="55"/>
      <c r="J63" s="82"/>
      <c r="K63" s="1180">
        <f>SUM(K56:K62)</f>
        <v>0</v>
      </c>
      <c r="L63" s="1180">
        <f>SUM(L56:L62)</f>
        <v>49</v>
      </c>
      <c r="M63" s="1180">
        <f>SUM(M56:M62)</f>
        <v>29</v>
      </c>
      <c r="N63" s="1180">
        <f>SUM(N56:N62)</f>
        <v>17</v>
      </c>
      <c r="O63" s="1180">
        <f>SUM(O56:O62)</f>
        <v>0</v>
      </c>
      <c r="P63" s="1180">
        <f t="shared" si="352"/>
        <v>95</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52"/>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49</v>
      </c>
      <c r="M65" s="1187">
        <f>SUM(M63:M64)</f>
        <v>29</v>
      </c>
      <c r="N65" s="1187">
        <f>SUM(N63:N64)</f>
        <v>17</v>
      </c>
      <c r="O65" s="1187">
        <f>SUM(O63:O64)</f>
        <v>0</v>
      </c>
      <c r="P65" s="1187">
        <f t="shared" si="352"/>
        <v>95</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52"/>
        <v>0</v>
      </c>
      <c r="Q66" s="465" t="s">
        <v>3309</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49</v>
      </c>
      <c r="M67" s="1179">
        <f>SUM(M65:M66)</f>
        <v>29</v>
      </c>
      <c r="N67" s="1179">
        <f>SUM(N65:N66)</f>
        <v>17</v>
      </c>
      <c r="O67" s="1179">
        <f>SUM(O65:O66)</f>
        <v>0</v>
      </c>
      <c r="P67" s="1179">
        <f t="shared" si="352"/>
        <v>95</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3926</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3829</v>
      </c>
      <c r="I70" s="36"/>
      <c r="J70" s="1497"/>
      <c r="K70" s="2908" t="str">
        <f t="shared" ref="K70:P70" si="353">IF(OR(K56=0,K67=0),"",K56/K67)</f>
        <v/>
      </c>
      <c r="L70" s="2909">
        <f t="shared" si="353"/>
        <v>8.1632653061224483E-2</v>
      </c>
      <c r="M70" s="2909">
        <f t="shared" si="353"/>
        <v>0.10344827586206896</v>
      </c>
      <c r="N70" s="2909">
        <f t="shared" si="353"/>
        <v>5.8823529411764705E-2</v>
      </c>
      <c r="O70" s="2909" t="str">
        <f t="shared" si="353"/>
        <v/>
      </c>
      <c r="P70" s="2910">
        <f t="shared" si="353"/>
        <v>8.4210526315789472E-2</v>
      </c>
      <c r="Q70" s="40" t="s">
        <v>4274</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5"/>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6811</v>
      </c>
      <c r="I71" s="36"/>
      <c r="J71" s="1"/>
      <c r="K71" s="2911" t="str">
        <f>IF(OR(K56=0,P70="",K67=0),"",P70*K67)</f>
        <v/>
      </c>
      <c r="L71" s="2911">
        <f>IF(OR(L56=0,P70="",L67=0),"",P70*L67)</f>
        <v>4.1263157894736837</v>
      </c>
      <c r="M71" s="2911">
        <f>IF(OR(M56=0,P70="",M67=0),"",P70*M67)</f>
        <v>2.4421052631578948</v>
      </c>
      <c r="N71" s="2911">
        <f>IF(OR(N56=0,P70="",N67=0),"",P70*N67)</f>
        <v>1.4315789473684211</v>
      </c>
      <c r="O71" s="2911" t="str">
        <f>IF(OR(O56=0,P70="",O67=0),"",P70*O67)</f>
        <v/>
      </c>
      <c r="P71" s="2912">
        <f>IF(OR(P70="",P67=0),"",P70*P67)</f>
        <v>8</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5"/>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3" t="s">
        <v>6812</v>
      </c>
      <c r="I72" s="2914"/>
      <c r="J72" s="1"/>
      <c r="K72" s="2915" t="str">
        <f t="shared" ref="K72:P72" si="354">IF(OR(K71="",K56=0),"", K56-K71)</f>
        <v/>
      </c>
      <c r="L72" s="2916">
        <f t="shared" si="354"/>
        <v>-0.12631578947368372</v>
      </c>
      <c r="M72" s="2916">
        <f t="shared" si="354"/>
        <v>0.55789473684210522</v>
      </c>
      <c r="N72" s="2916">
        <f t="shared" si="354"/>
        <v>-0.43157894736842106</v>
      </c>
      <c r="O72" s="2916" t="str">
        <f t="shared" si="354"/>
        <v/>
      </c>
      <c r="P72" s="2917">
        <f t="shared" si="354"/>
        <v>0</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5"/>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4273</v>
      </c>
      <c r="E73" s="3828"/>
      <c r="F73" s="3828"/>
      <c r="G73" s="8"/>
      <c r="H73" s="109" t="s">
        <v>3830</v>
      </c>
      <c r="I73" s="36"/>
      <c r="J73" s="1"/>
      <c r="K73" s="2918" t="str">
        <f t="shared" ref="K73:P73" si="355">IF(OR(K57=0,K67=0),"",K57/K67)</f>
        <v/>
      </c>
      <c r="L73" s="2919" t="str">
        <f t="shared" si="355"/>
        <v/>
      </c>
      <c r="M73" s="2919" t="str">
        <f t="shared" si="355"/>
        <v/>
      </c>
      <c r="N73" s="2919" t="str">
        <f t="shared" si="355"/>
        <v/>
      </c>
      <c r="O73" s="2919" t="str">
        <f t="shared" si="355"/>
        <v/>
      </c>
      <c r="P73" s="2920" t="str">
        <f t="shared" si="355"/>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5"/>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6811</v>
      </c>
      <c r="I74" s="36"/>
      <c r="J74" s="1"/>
      <c r="K74" s="2911" t="str">
        <f>IF(OR(K57=0,P73="",K67=0),"",P73*K67)</f>
        <v/>
      </c>
      <c r="L74" s="2911" t="str">
        <f>IF(OR(L57=0,P73="",L67=0),"",P73*L67)</f>
        <v/>
      </c>
      <c r="M74" s="2911" t="str">
        <f>IF(OR(M57=0,P73="",M67=0),"",P73*M67)</f>
        <v/>
      </c>
      <c r="N74" s="2911" t="str">
        <f>IF(OR(N57=0,P73="",N67=0),"",P73*N67)</f>
        <v/>
      </c>
      <c r="O74" s="2911" t="str">
        <f>IF(OR(O57=0,P73="",O67=0),"",P73*O67)</f>
        <v/>
      </c>
      <c r="P74" s="2912"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5"/>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3" t="s">
        <v>6812</v>
      </c>
      <c r="I75" s="2914"/>
      <c r="J75" s="1"/>
      <c r="K75" s="2915" t="str">
        <f t="shared" ref="K75:P75" si="356">IF(OR(K74="",K57=0),"", K57-K74)</f>
        <v/>
      </c>
      <c r="L75" s="2915" t="str">
        <f t="shared" si="356"/>
        <v/>
      </c>
      <c r="M75" s="2915" t="str">
        <f t="shared" si="356"/>
        <v/>
      </c>
      <c r="N75" s="2915" t="str">
        <f t="shared" si="356"/>
        <v/>
      </c>
      <c r="O75" s="2915" t="str">
        <f t="shared" si="356"/>
        <v/>
      </c>
      <c r="P75" s="2915" t="str">
        <f t="shared" si="356"/>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5"/>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828"/>
      <c r="E76" s="3828"/>
      <c r="F76" s="3828"/>
      <c r="G76" s="8"/>
      <c r="H76" s="109" t="s">
        <v>1107</v>
      </c>
      <c r="I76" s="36"/>
      <c r="J76" s="1"/>
      <c r="K76" s="2918" t="str">
        <f t="shared" ref="K76:P76" si="357">IF(OR(K58=0,K67=0),"",K58/K67)</f>
        <v/>
      </c>
      <c r="L76" s="2919">
        <f t="shared" si="357"/>
        <v>0.7142857142857143</v>
      </c>
      <c r="M76" s="2919">
        <f t="shared" si="357"/>
        <v>0.68965517241379315</v>
      </c>
      <c r="N76" s="2919">
        <f t="shared" si="357"/>
        <v>0.70588235294117652</v>
      </c>
      <c r="O76" s="2919" t="str">
        <f t="shared" si="357"/>
        <v/>
      </c>
      <c r="P76" s="2920">
        <f t="shared" si="357"/>
        <v>0.70526315789473681</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5"/>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6811</v>
      </c>
      <c r="I77" s="36"/>
      <c r="J77" s="1"/>
      <c r="K77" s="2911" t="str">
        <f>IF(OR(K58=0,P76="",K67=0),"",P76*K67)</f>
        <v/>
      </c>
      <c r="L77" s="2911">
        <f>IF(OR(L58=0,P76="",L67=0),"",P76*L67)</f>
        <v>34.557894736842101</v>
      </c>
      <c r="M77" s="2911">
        <f>IF(OR(M58=0,P76="",M67=0),"",P76*M67)</f>
        <v>20.452631578947368</v>
      </c>
      <c r="N77" s="2911">
        <f>IF(OR(N58=0,P76="",N67=0),"",P76*N67)</f>
        <v>11.989473684210527</v>
      </c>
      <c r="O77" s="2911" t="str">
        <f>IF(OR(O58=0,P76="",O67=0),"",P76*O67)</f>
        <v/>
      </c>
      <c r="P77" s="2912">
        <f>IF(OR(P76="",P67=0),"",P76*P67)</f>
        <v>67</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5"/>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3" t="s">
        <v>6812</v>
      </c>
      <c r="I78" s="2914"/>
      <c r="J78" s="1"/>
      <c r="K78" s="2915" t="str">
        <f t="shared" ref="K78:P78" si="358">IF(OR(K77="",K58=0),"", K58-K77)</f>
        <v/>
      </c>
      <c r="L78" s="2915">
        <f t="shared" si="358"/>
        <v>0.44210526315789878</v>
      </c>
      <c r="M78" s="2915">
        <f t="shared" si="358"/>
        <v>-0.4526315789473685</v>
      </c>
      <c r="N78" s="2915">
        <f t="shared" si="358"/>
        <v>1.0526315789473273E-2</v>
      </c>
      <c r="O78" s="2915" t="str">
        <f t="shared" si="358"/>
        <v/>
      </c>
      <c r="P78" s="2915">
        <f t="shared" si="358"/>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5"/>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1"/>
      <c r="E79" s="2921"/>
      <c r="F79" s="8"/>
      <c r="G79" s="8"/>
      <c r="H79" s="109" t="s">
        <v>111</v>
      </c>
      <c r="I79" s="36"/>
      <c r="J79" s="1"/>
      <c r="K79" s="2918" t="str">
        <f t="shared" ref="K79:P79" si="359">IF(OR(K59=0,K67=0),"",K59/K67)</f>
        <v/>
      </c>
      <c r="L79" s="2919" t="str">
        <f t="shared" si="359"/>
        <v/>
      </c>
      <c r="M79" s="2919" t="str">
        <f t="shared" si="359"/>
        <v/>
      </c>
      <c r="N79" s="2919" t="str">
        <f t="shared" si="359"/>
        <v/>
      </c>
      <c r="O79" s="2919" t="str">
        <f t="shared" si="359"/>
        <v/>
      </c>
      <c r="P79" s="2920" t="str">
        <f t="shared" si="359"/>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5"/>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1"/>
      <c r="E80" s="2921"/>
      <c r="F80" s="8"/>
      <c r="G80" s="8"/>
      <c r="H80" s="109" t="s">
        <v>6811</v>
      </c>
      <c r="I80" s="36"/>
      <c r="J80" s="1"/>
      <c r="K80" s="2911" t="str">
        <f>IF(OR(K59=0,P79="",K67=0),"",P79*K67)</f>
        <v/>
      </c>
      <c r="L80" s="2911" t="str">
        <f>IF(OR(L59=0,P79="",L67=0),"",P79*L67)</f>
        <v/>
      </c>
      <c r="M80" s="2911" t="str">
        <f>IF(OR(M59=0,P79="",M67=0),"",P79*M67)</f>
        <v/>
      </c>
      <c r="N80" s="2911" t="str">
        <f>IF(OR(N59=0,P79="",N67=0),"",P79*N67)</f>
        <v/>
      </c>
      <c r="O80" s="2911" t="str">
        <f>IF(OR(O59=0,P79="",O67=0),"",P79*O67)</f>
        <v/>
      </c>
      <c r="P80" s="2912"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5"/>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1"/>
      <c r="E81" s="2921"/>
      <c r="F81" s="8"/>
      <c r="G81" s="1579"/>
      <c r="H81" s="2913" t="s">
        <v>6812</v>
      </c>
      <c r="I81" s="2914"/>
      <c r="J81" s="1"/>
      <c r="K81" s="2915" t="str">
        <f t="shared" ref="K81:P81" si="360">IF(OR(K80="",K59=0),"", K59-K80)</f>
        <v/>
      </c>
      <c r="L81" s="2915" t="str">
        <f t="shared" si="360"/>
        <v/>
      </c>
      <c r="M81" s="2915" t="str">
        <f t="shared" si="360"/>
        <v/>
      </c>
      <c r="N81" s="2915" t="str">
        <f t="shared" si="360"/>
        <v/>
      </c>
      <c r="O81" s="2915" t="str">
        <f t="shared" si="360"/>
        <v/>
      </c>
      <c r="P81" s="2915" t="str">
        <f t="shared" si="360"/>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5"/>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1"/>
      <c r="E82" s="2921"/>
      <c r="F82" s="8"/>
      <c r="G82" s="8"/>
      <c r="H82" s="109" t="s">
        <v>3831</v>
      </c>
      <c r="I82" s="36"/>
      <c r="J82" s="1"/>
      <c r="K82" s="2918" t="str">
        <f t="shared" ref="K82:P82" si="361">IF(OR(K60=0,K67=0),"",K60/K67)</f>
        <v/>
      </c>
      <c r="L82" s="2919" t="str">
        <f t="shared" si="361"/>
        <v/>
      </c>
      <c r="M82" s="2919" t="str">
        <f t="shared" si="361"/>
        <v/>
      </c>
      <c r="N82" s="2919" t="str">
        <f t="shared" si="361"/>
        <v/>
      </c>
      <c r="O82" s="2919" t="str">
        <f t="shared" si="361"/>
        <v/>
      </c>
      <c r="P82" s="2920" t="str">
        <f t="shared" si="361"/>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5"/>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6811</v>
      </c>
      <c r="I83" s="36"/>
      <c r="J83" s="1"/>
      <c r="K83" s="2911" t="str">
        <f>IF(OR(K60=0,P82="",K67=0),"",P82*K67)</f>
        <v/>
      </c>
      <c r="L83" s="2911" t="str">
        <f>IF(OR(L60=0,P82="",L67=0),"",P82*L67)</f>
        <v/>
      </c>
      <c r="M83" s="2911" t="str">
        <f>IF(OR(M60=0,P82="",M67=0),"",P82*M67)</f>
        <v/>
      </c>
      <c r="N83" s="2911" t="str">
        <f>IF(OR(N60=0,P82="",N67=0),"",P82*N67)</f>
        <v/>
      </c>
      <c r="O83" s="2911" t="str">
        <f>IF(OR(O60=0,P82="",O67=0),"",P82*O67)</f>
        <v/>
      </c>
      <c r="P83" s="2912"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5"/>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3" t="s">
        <v>6812</v>
      </c>
      <c r="I84" s="2914"/>
      <c r="J84" s="1"/>
      <c r="K84" s="2915" t="str">
        <f t="shared" ref="K84:P84" si="362">IF(OR(K83="",K60=0),"", K60-K83)</f>
        <v/>
      </c>
      <c r="L84" s="2915" t="str">
        <f t="shared" si="362"/>
        <v/>
      </c>
      <c r="M84" s="2915" t="str">
        <f t="shared" si="362"/>
        <v/>
      </c>
      <c r="N84" s="2915" t="str">
        <f t="shared" si="362"/>
        <v/>
      </c>
      <c r="O84" s="2915" t="str">
        <f t="shared" si="362"/>
        <v/>
      </c>
      <c r="P84" s="2915" t="str">
        <f t="shared" si="362"/>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5"/>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18" t="str">
        <f t="shared" ref="K85:P85" si="363">IF(OR(K61=0,K67=0),"",K61/K67)</f>
        <v/>
      </c>
      <c r="L85" s="2919">
        <f t="shared" si="363"/>
        <v>0.20408163265306123</v>
      </c>
      <c r="M85" s="2919">
        <f t="shared" si="363"/>
        <v>0.20689655172413793</v>
      </c>
      <c r="N85" s="2919">
        <f t="shared" si="363"/>
        <v>0.23529411764705882</v>
      </c>
      <c r="O85" s="2919" t="str">
        <f t="shared" si="363"/>
        <v/>
      </c>
      <c r="P85" s="2920">
        <f t="shared" si="363"/>
        <v>0.21052631578947367</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5"/>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6811</v>
      </c>
      <c r="I86" s="36"/>
      <c r="J86" s="1"/>
      <c r="K86" s="2911" t="str">
        <f>IF(OR(K61=0,P85="",K67=0),"",P85*K67)</f>
        <v/>
      </c>
      <c r="L86" s="2911">
        <f>IF(OR(L61=0,P85="",L67=0),"",P85*L67)</f>
        <v>10.315789473684211</v>
      </c>
      <c r="M86" s="2911">
        <f>IF(OR(M61=0,P85="",M67=0),"",P85*M67)</f>
        <v>6.1052631578947363</v>
      </c>
      <c r="N86" s="2911">
        <f>IF(OR(N61=0,P85="",N67=0),"",P85*N67)</f>
        <v>3.5789473684210522</v>
      </c>
      <c r="O86" s="2911" t="str">
        <f>IF(OR(O61=0,P85="",O67=0),"",P85*O67)</f>
        <v/>
      </c>
      <c r="P86" s="2912">
        <f>IF(OR(P85="",P67=0),"",P85*P67)</f>
        <v>20</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5"/>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3" t="s">
        <v>6812</v>
      </c>
      <c r="I87" s="2914"/>
      <c r="J87" s="1"/>
      <c r="K87" s="2915" t="str">
        <f t="shared" ref="K87:P87" si="364">IF(OR(K86="",K61=0),"", K61-K86)</f>
        <v/>
      </c>
      <c r="L87" s="2915">
        <f t="shared" si="364"/>
        <v>-0.31578947368421062</v>
      </c>
      <c r="M87" s="2915">
        <f t="shared" si="364"/>
        <v>-0.10526315789473628</v>
      </c>
      <c r="N87" s="2915">
        <f t="shared" si="364"/>
        <v>0.42105263157894779</v>
      </c>
      <c r="O87" s="2915" t="str">
        <f t="shared" si="364"/>
        <v/>
      </c>
      <c r="P87" s="2915">
        <f t="shared" si="364"/>
        <v>0</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5"/>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18" t="str">
        <f t="shared" ref="K88:P88" si="365">IF(OR(K62=0,K67=0),"",K62/K67)</f>
        <v/>
      </c>
      <c r="L88" s="2919" t="str">
        <f t="shared" si="365"/>
        <v/>
      </c>
      <c r="M88" s="2919" t="str">
        <f t="shared" si="365"/>
        <v/>
      </c>
      <c r="N88" s="2919" t="str">
        <f t="shared" si="365"/>
        <v/>
      </c>
      <c r="O88" s="2919" t="str">
        <f t="shared" si="365"/>
        <v/>
      </c>
      <c r="P88" s="2920" t="str">
        <f t="shared" si="365"/>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5"/>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2"/>
      <c r="E89" s="2922"/>
      <c r="F89" s="8"/>
      <c r="G89" s="8"/>
      <c r="H89" s="109" t="s">
        <v>6811</v>
      </c>
      <c r="I89" s="36"/>
      <c r="J89" s="1"/>
      <c r="K89" s="2911" t="str">
        <f>IF(OR(K62=0,P88="",K67=0),"",P88*K67)</f>
        <v/>
      </c>
      <c r="L89" s="2911" t="str">
        <f>IF(OR(L62=0,P88="",L67=0),"",P88*L67)</f>
        <v/>
      </c>
      <c r="M89" s="2911" t="str">
        <f>IF(OR(M62=0,P88="",M67=0),"",P88*M67)</f>
        <v/>
      </c>
      <c r="N89" s="2911" t="str">
        <f>IF(OR(N62=0,P88="",N67=0),"",P88*N67)</f>
        <v/>
      </c>
      <c r="O89" s="2911" t="str">
        <f>IF(OR(O62=0,P88="",O67=0),"",P88*O67)</f>
        <v/>
      </c>
      <c r="P89" s="2912"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5"/>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1"/>
      <c r="E90" s="2921"/>
      <c r="F90" s="8"/>
      <c r="G90" s="1579"/>
      <c r="H90" s="2913" t="s">
        <v>6812</v>
      </c>
      <c r="I90" s="2914"/>
      <c r="J90" s="1"/>
      <c r="K90" s="2923" t="str">
        <f t="shared" ref="K90:P90" si="366">IF(OR(K89="",K62=0),"", K62-K89)</f>
        <v/>
      </c>
      <c r="L90" s="2923" t="str">
        <f t="shared" si="366"/>
        <v/>
      </c>
      <c r="M90" s="2923" t="str">
        <f t="shared" si="366"/>
        <v/>
      </c>
      <c r="N90" s="2923" t="str">
        <f t="shared" si="366"/>
        <v/>
      </c>
      <c r="O90" s="2923" t="str">
        <f t="shared" si="366"/>
        <v/>
      </c>
      <c r="P90" s="2923" t="str">
        <f t="shared" si="366"/>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5"/>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4</v>
      </c>
      <c r="M93" s="1210">
        <f>CR49</f>
        <v>3</v>
      </c>
      <c r="N93" s="1210">
        <f>CS49</f>
        <v>1</v>
      </c>
      <c r="O93" s="1211">
        <f>CT49</f>
        <v>0</v>
      </c>
      <c r="P93" s="835">
        <f t="shared" ref="P93:P100" si="367">SUM(K93:O93)</f>
        <v>8</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3830</v>
      </c>
      <c r="I94" s="36"/>
      <c r="J94" s="82"/>
      <c r="K94" s="1212">
        <f>CK49</f>
        <v>0</v>
      </c>
      <c r="L94" s="1213">
        <f>CL49</f>
        <v>0</v>
      </c>
      <c r="M94" s="1213">
        <f>CM49</f>
        <v>0</v>
      </c>
      <c r="N94" s="1213">
        <f>CN49</f>
        <v>0</v>
      </c>
      <c r="O94" s="1214">
        <f>CO49</f>
        <v>0</v>
      </c>
      <c r="P94" s="1178">
        <f t="shared" si="367"/>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35</v>
      </c>
      <c r="M95" s="1213">
        <f>CH49</f>
        <v>20</v>
      </c>
      <c r="N95" s="1213">
        <f>CI49</f>
        <v>12</v>
      </c>
      <c r="O95" s="1214">
        <f>CJ49</f>
        <v>0</v>
      </c>
      <c r="P95" s="1178">
        <f t="shared" si="367"/>
        <v>67</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7"/>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7"/>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10</v>
      </c>
      <c r="M98" s="1213">
        <f>BS49</f>
        <v>6</v>
      </c>
      <c r="N98" s="1213">
        <f>BT49</f>
        <v>4</v>
      </c>
      <c r="O98" s="1214">
        <f>BU49</f>
        <v>0</v>
      </c>
      <c r="P98" s="1178">
        <f t="shared" si="367"/>
        <v>20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7"/>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49</v>
      </c>
      <c r="M100" s="1179">
        <f>SUM(M93:M99)</f>
        <v>29</v>
      </c>
      <c r="N100" s="1179">
        <f>SUM(N93:N99)</f>
        <v>17</v>
      </c>
      <c r="O100" s="1179">
        <f>SUM(O93:O99)</f>
        <v>0</v>
      </c>
      <c r="P100" s="1179">
        <f t="shared" si="367"/>
        <v>95</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8">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3830</v>
      </c>
      <c r="I105" s="36"/>
      <c r="J105" s="82"/>
      <c r="K105" s="1212">
        <f>DT49</f>
        <v>0</v>
      </c>
      <c r="L105" s="1213">
        <f>DU49</f>
        <v>0</v>
      </c>
      <c r="M105" s="1213">
        <f>DV49</f>
        <v>0</v>
      </c>
      <c r="N105" s="1213">
        <f>DW49</f>
        <v>0</v>
      </c>
      <c r="O105" s="1214">
        <f>DX49</f>
        <v>0</v>
      </c>
      <c r="P105" s="833">
        <f t="shared" si="368"/>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8"/>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8"/>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8"/>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8"/>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8"/>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8"/>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49</v>
      </c>
      <c r="M113" s="1201">
        <f>GI49</f>
        <v>29</v>
      </c>
      <c r="N113" s="1201">
        <f>GJ49</f>
        <v>17</v>
      </c>
      <c r="O113" s="1202">
        <f>GK49</f>
        <v>0</v>
      </c>
      <c r="P113" s="837">
        <f t="shared" ref="P113:P123" si="369">SUM(K113:O113)</f>
        <v>95</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9"/>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49</v>
      </c>
      <c r="M115" s="1181">
        <f>SUM(M113:M114)+GS49</f>
        <v>29</v>
      </c>
      <c r="N115" s="1181">
        <f>SUM(N113:N114)+GT49</f>
        <v>17</v>
      </c>
      <c r="O115" s="1181">
        <f>SUM(O113:O114)+GU49</f>
        <v>0</v>
      </c>
      <c r="P115" s="1181">
        <f t="shared" si="369"/>
        <v>95</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9"/>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9"/>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9"/>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9"/>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9"/>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9"/>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4"/>
      <c r="L122" s="2924"/>
      <c r="M122" s="2924"/>
      <c r="N122" s="2924"/>
      <c r="O122" s="2924"/>
      <c r="P122" s="539">
        <f t="shared" si="369"/>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3140</v>
      </c>
      <c r="F123" s="1"/>
      <c r="G123" s="170"/>
      <c r="H123" s="110"/>
      <c r="I123" s="82"/>
      <c r="J123" s="82"/>
      <c r="K123" s="2925"/>
      <c r="L123" s="2925"/>
      <c r="M123" s="2925"/>
      <c r="N123" s="2925"/>
      <c r="O123" s="2925"/>
      <c r="P123" s="540">
        <f t="shared" si="369"/>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6816</v>
      </c>
      <c r="D127" s="3849"/>
      <c r="E127" s="978" t="s">
        <v>36</v>
      </c>
      <c r="F127" s="866"/>
      <c r="G127" s="979"/>
      <c r="H127" s="1504"/>
      <c r="I127" s="980"/>
      <c r="J127" s="981"/>
      <c r="K127" s="1221">
        <f t="shared" ref="K127:P127" si="370">SUM(K128:K135)</f>
        <v>0</v>
      </c>
      <c r="L127" s="1222">
        <f t="shared" si="370"/>
        <v>49</v>
      </c>
      <c r="M127" s="1222">
        <f t="shared" si="370"/>
        <v>29</v>
      </c>
      <c r="N127" s="1222">
        <f t="shared" si="370"/>
        <v>17</v>
      </c>
      <c r="O127" s="1223">
        <f t="shared" si="370"/>
        <v>0</v>
      </c>
      <c r="P127" s="1184">
        <f t="shared" si="370"/>
        <v>95</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6595</v>
      </c>
      <c r="I128" s="783"/>
      <c r="J128" s="982"/>
      <c r="K128" s="1203">
        <f>JS49</f>
        <v>0</v>
      </c>
      <c r="L128" s="1204">
        <f>JT49</f>
        <v>49</v>
      </c>
      <c r="M128" s="1204">
        <f>JU49</f>
        <v>29</v>
      </c>
      <c r="N128" s="1204">
        <f>JV49</f>
        <v>17</v>
      </c>
      <c r="O128" s="1205">
        <f>JW49</f>
        <v>0</v>
      </c>
      <c r="P128" s="833">
        <f t="shared" ref="P128:P143" si="371">SUM(K128:O128)</f>
        <v>95</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3117</v>
      </c>
      <c r="I129" s="94"/>
      <c r="J129" s="982"/>
      <c r="K129" s="1760">
        <f>KC49</f>
        <v>0</v>
      </c>
      <c r="L129" s="1761">
        <f>KD49</f>
        <v>0</v>
      </c>
      <c r="M129" s="1761">
        <f>KE49</f>
        <v>0</v>
      </c>
      <c r="N129" s="1761">
        <f>KF49</f>
        <v>0</v>
      </c>
      <c r="O129" s="1762">
        <f>KG49</f>
        <v>0</v>
      </c>
      <c r="P129" s="1772">
        <f t="shared" si="371"/>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6803</v>
      </c>
      <c r="I130" s="783"/>
      <c r="J130" s="982"/>
      <c r="K130" s="1203">
        <f>JX49</f>
        <v>0</v>
      </c>
      <c r="L130" s="1204">
        <f>JY49</f>
        <v>0</v>
      </c>
      <c r="M130" s="1204">
        <f>JZ49</f>
        <v>0</v>
      </c>
      <c r="N130" s="1204">
        <f>KA49</f>
        <v>0</v>
      </c>
      <c r="O130" s="1205">
        <f>KB49</f>
        <v>0</v>
      </c>
      <c r="P130" s="833">
        <f t="shared" ref="P130:P135" si="372">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3117</v>
      </c>
      <c r="I131" s="94"/>
      <c r="J131" s="982"/>
      <c r="K131" s="1760">
        <f>KH49</f>
        <v>0</v>
      </c>
      <c r="L131" s="1761">
        <f>KI49</f>
        <v>0</v>
      </c>
      <c r="M131" s="1761">
        <f>KJ49</f>
        <v>0</v>
      </c>
      <c r="N131" s="1761">
        <f>KK49</f>
        <v>0</v>
      </c>
      <c r="O131" s="1762">
        <f>KL49</f>
        <v>0</v>
      </c>
      <c r="P131" s="1772">
        <f t="shared" si="372"/>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6597</v>
      </c>
      <c r="I132" s="40"/>
      <c r="J132" s="82"/>
      <c r="K132" s="1227">
        <f>KM49</f>
        <v>0</v>
      </c>
      <c r="L132" s="1228">
        <f>KN49</f>
        <v>0</v>
      </c>
      <c r="M132" s="1228">
        <f>KO49</f>
        <v>0</v>
      </c>
      <c r="N132" s="1228">
        <f>KP49</f>
        <v>0</v>
      </c>
      <c r="O132" s="1229">
        <f>KQ49</f>
        <v>0</v>
      </c>
      <c r="P132" s="543">
        <f t="shared" si="372"/>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3117</v>
      </c>
      <c r="I133" s="780"/>
      <c r="J133" s="82"/>
      <c r="K133" s="1768">
        <f>KW49</f>
        <v>0</v>
      </c>
      <c r="L133" s="1769">
        <f>KX49</f>
        <v>0</v>
      </c>
      <c r="M133" s="1769">
        <f>KY49</f>
        <v>0</v>
      </c>
      <c r="N133" s="1769">
        <f>KZ49</f>
        <v>0</v>
      </c>
      <c r="O133" s="1770">
        <f>LA49</f>
        <v>0</v>
      </c>
      <c r="P133" s="1771">
        <f t="shared" si="372"/>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6810</v>
      </c>
      <c r="I134" s="40"/>
      <c r="J134" s="82"/>
      <c r="K134" s="1227">
        <f>KR49</f>
        <v>0</v>
      </c>
      <c r="L134" s="1228">
        <f>KS49</f>
        <v>0</v>
      </c>
      <c r="M134" s="1228">
        <f>KT49</f>
        <v>0</v>
      </c>
      <c r="N134" s="1228">
        <f>KU49</f>
        <v>0</v>
      </c>
      <c r="O134" s="1229">
        <f>KV49</f>
        <v>0</v>
      </c>
      <c r="P134" s="543">
        <f t="shared" si="372"/>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3117</v>
      </c>
      <c r="I135" s="780"/>
      <c r="J135" s="82"/>
      <c r="K135" s="1768">
        <f>LB49</f>
        <v>0</v>
      </c>
      <c r="L135" s="1769">
        <f>LC49</f>
        <v>0</v>
      </c>
      <c r="M135" s="1769">
        <f>LD49</f>
        <v>0</v>
      </c>
      <c r="N135" s="1769">
        <f>LE49</f>
        <v>0</v>
      </c>
      <c r="O135" s="1770">
        <f>LF49</f>
        <v>0</v>
      </c>
      <c r="P135" s="1771">
        <f t="shared" si="372"/>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6805</v>
      </c>
      <c r="F136" s="1"/>
      <c r="G136" s="82"/>
      <c r="H136" s="1496"/>
      <c r="I136" s="40"/>
      <c r="J136" s="82"/>
      <c r="K136" s="1200">
        <f>IE49</f>
        <v>0</v>
      </c>
      <c r="L136" s="1201">
        <f>IF49</f>
        <v>0</v>
      </c>
      <c r="M136" s="1201">
        <f>IG49</f>
        <v>0</v>
      </c>
      <c r="N136" s="1201">
        <f>IH49</f>
        <v>0</v>
      </c>
      <c r="O136" s="1202">
        <f>II49</f>
        <v>0</v>
      </c>
      <c r="P136" s="1756">
        <f t="shared" si="371"/>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3117</v>
      </c>
      <c r="I137" s="780"/>
      <c r="J137" s="82"/>
      <c r="K137" s="1760">
        <f>IJ49</f>
        <v>0</v>
      </c>
      <c r="L137" s="1761">
        <f>IK49</f>
        <v>0</v>
      </c>
      <c r="M137" s="1761">
        <f>IL49</f>
        <v>0</v>
      </c>
      <c r="N137" s="1761">
        <f>IM49</f>
        <v>0</v>
      </c>
      <c r="O137" s="1762">
        <f>IN49</f>
        <v>0</v>
      </c>
      <c r="P137" s="1763">
        <f t="shared" si="371"/>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6806</v>
      </c>
      <c r="F138" s="1"/>
      <c r="G138" s="82"/>
      <c r="H138" s="1496"/>
      <c r="I138" s="40"/>
      <c r="J138" s="82"/>
      <c r="K138" s="1227">
        <f>JI49</f>
        <v>0</v>
      </c>
      <c r="L138" s="1228">
        <f>JJ49</f>
        <v>0</v>
      </c>
      <c r="M138" s="1228">
        <f>JK49</f>
        <v>0</v>
      </c>
      <c r="N138" s="1228">
        <f>JL49</f>
        <v>0</v>
      </c>
      <c r="O138" s="1229">
        <f>JM49</f>
        <v>0</v>
      </c>
      <c r="P138" s="1757">
        <f t="shared" si="371"/>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3117</v>
      </c>
      <c r="I139" s="780"/>
      <c r="J139" s="82"/>
      <c r="K139" s="1760">
        <f>JN49</f>
        <v>0</v>
      </c>
      <c r="L139" s="1761">
        <f>JO49</f>
        <v>0</v>
      </c>
      <c r="M139" s="1761">
        <f>JP49</f>
        <v>0</v>
      </c>
      <c r="N139" s="1761">
        <f>JQ49</f>
        <v>0</v>
      </c>
      <c r="O139" s="1762">
        <f>JR49</f>
        <v>0</v>
      </c>
      <c r="P139" s="1763">
        <f t="shared" si="371"/>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6591</v>
      </c>
      <c r="F140" s="1"/>
      <c r="G140" s="82"/>
      <c r="H140" s="1496"/>
      <c r="I140" s="40"/>
      <c r="J140" s="82"/>
      <c r="K140" s="1227">
        <f>IY49</f>
        <v>0</v>
      </c>
      <c r="L140" s="1228">
        <f>IZ49</f>
        <v>0</v>
      </c>
      <c r="M140" s="1228">
        <f>JA49</f>
        <v>0</v>
      </c>
      <c r="N140" s="1228">
        <f>JB49</f>
        <v>0</v>
      </c>
      <c r="O140" s="1229">
        <f>JC49</f>
        <v>0</v>
      </c>
      <c r="P140" s="1757">
        <f t="shared" si="371"/>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3117</v>
      </c>
      <c r="I141" s="780"/>
      <c r="J141" s="82"/>
      <c r="K141" s="1768">
        <f>JD49</f>
        <v>0</v>
      </c>
      <c r="L141" s="1769">
        <f>JE49</f>
        <v>0</v>
      </c>
      <c r="M141" s="1769">
        <f>JF49</f>
        <v>0</v>
      </c>
      <c r="N141" s="1769">
        <f>JG49</f>
        <v>0</v>
      </c>
      <c r="O141" s="1770">
        <f>JH49</f>
        <v>0</v>
      </c>
      <c r="P141" s="1763">
        <f t="shared" si="371"/>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1"/>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1"/>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6817</v>
      </c>
      <c r="D147" s="3849"/>
      <c r="E147" s="978" t="s">
        <v>3112</v>
      </c>
      <c r="F147" s="979"/>
      <c r="G147" s="980"/>
      <c r="H147" s="1507"/>
      <c r="I147" s="983"/>
      <c r="J147" s="981"/>
      <c r="K147" s="1230">
        <f t="shared" ref="K147:O148" si="373">K136+K140+K142</f>
        <v>0</v>
      </c>
      <c r="L147" s="1231">
        <f>L136+L140+L142</f>
        <v>0</v>
      </c>
      <c r="M147" s="1231">
        <f t="shared" si="373"/>
        <v>0</v>
      </c>
      <c r="N147" s="1231">
        <f t="shared" si="373"/>
        <v>0</v>
      </c>
      <c r="O147" s="1232">
        <f t="shared" si="373"/>
        <v>0</v>
      </c>
      <c r="P147" s="1756">
        <f t="shared" ref="P147:P154" si="374">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3117</v>
      </c>
      <c r="I148" s="94"/>
      <c r="J148" s="982"/>
      <c r="K148" s="1760">
        <f t="shared" si="373"/>
        <v>0</v>
      </c>
      <c r="L148" s="1761">
        <f t="shared" si="373"/>
        <v>0</v>
      </c>
      <c r="M148" s="1761">
        <f t="shared" si="373"/>
        <v>0</v>
      </c>
      <c r="N148" s="1761">
        <f t="shared" si="373"/>
        <v>0</v>
      </c>
      <c r="O148" s="1762">
        <f t="shared" si="373"/>
        <v>0</v>
      </c>
      <c r="P148" s="1763">
        <f t="shared" si="374"/>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6"/>
      <c r="I149" s="465"/>
      <c r="J149" s="982"/>
      <c r="K149" s="1236">
        <f t="shared" ref="K149:O150" si="375">K138</f>
        <v>0</v>
      </c>
      <c r="L149" s="1237">
        <f t="shared" si="375"/>
        <v>0</v>
      </c>
      <c r="M149" s="1237">
        <f t="shared" si="375"/>
        <v>0</v>
      </c>
      <c r="N149" s="1237">
        <f t="shared" si="375"/>
        <v>0</v>
      </c>
      <c r="O149" s="1238">
        <f t="shared" si="375"/>
        <v>0</v>
      </c>
      <c r="P149" s="1757">
        <f t="shared" si="374"/>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3117</v>
      </c>
      <c r="I150" s="94"/>
      <c r="J150" s="982"/>
      <c r="K150" s="1760">
        <f t="shared" si="375"/>
        <v>0</v>
      </c>
      <c r="L150" s="1761">
        <f t="shared" si="375"/>
        <v>0</v>
      </c>
      <c r="M150" s="1761">
        <f t="shared" si="375"/>
        <v>0</v>
      </c>
      <c r="N150" s="1761">
        <f t="shared" si="375"/>
        <v>0</v>
      </c>
      <c r="O150" s="1762">
        <f t="shared" si="375"/>
        <v>0</v>
      </c>
      <c r="P150" s="1763">
        <f t="shared" si="374"/>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1"/>
      <c r="I151" s="783"/>
      <c r="J151" s="982"/>
      <c r="K151" s="1236">
        <f>K128+K132</f>
        <v>0</v>
      </c>
      <c r="L151" s="1237">
        <f t="shared" ref="L151:O151" si="376">L128+L132</f>
        <v>49</v>
      </c>
      <c r="M151" s="1237">
        <f t="shared" si="376"/>
        <v>29</v>
      </c>
      <c r="N151" s="1237">
        <f t="shared" si="376"/>
        <v>17</v>
      </c>
      <c r="O151" s="1238">
        <f t="shared" si="376"/>
        <v>0</v>
      </c>
      <c r="P151" s="1757">
        <f t="shared" si="374"/>
        <v>95</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3117</v>
      </c>
      <c r="I152" s="94"/>
      <c r="J152" s="982"/>
      <c r="K152" s="1760">
        <f>K129+K133</f>
        <v>0</v>
      </c>
      <c r="L152" s="1761">
        <f t="shared" ref="L152:O152" si="377">L129+L133</f>
        <v>0</v>
      </c>
      <c r="M152" s="1761">
        <f t="shared" si="377"/>
        <v>0</v>
      </c>
      <c r="N152" s="1761">
        <f t="shared" si="377"/>
        <v>0</v>
      </c>
      <c r="O152" s="1762">
        <f t="shared" si="377"/>
        <v>0</v>
      </c>
      <c r="P152" s="1763">
        <f t="shared" si="374"/>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1"/>
      <c r="I153" s="783"/>
      <c r="J153" s="982"/>
      <c r="K153" s="1236">
        <f>K130+K134</f>
        <v>0</v>
      </c>
      <c r="L153" s="1237">
        <f t="shared" ref="L153:O153" si="378">L130+L134</f>
        <v>0</v>
      </c>
      <c r="M153" s="1237">
        <f t="shared" si="378"/>
        <v>0</v>
      </c>
      <c r="N153" s="1237">
        <f t="shared" si="378"/>
        <v>0</v>
      </c>
      <c r="O153" s="1238">
        <f t="shared" si="378"/>
        <v>0</v>
      </c>
      <c r="P153" s="1757">
        <f t="shared" si="374"/>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9">L131+L135</f>
        <v>0</v>
      </c>
      <c r="M154" s="1765">
        <f t="shared" si="379"/>
        <v>0</v>
      </c>
      <c r="N154" s="1765">
        <f t="shared" si="379"/>
        <v>0</v>
      </c>
      <c r="O154" s="1766">
        <f t="shared" si="379"/>
        <v>0</v>
      </c>
      <c r="P154" s="1767">
        <f t="shared" si="374"/>
        <v>0</v>
      </c>
      <c r="Q154" s="3835" t="s">
        <v>4073</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6819</v>
      </c>
      <c r="C156" s="1"/>
      <c r="D156" s="1"/>
      <c r="E156" s="1"/>
      <c r="F156" s="1"/>
      <c r="G156" s="82"/>
      <c r="H156" s="40"/>
      <c r="I156" s="40"/>
      <c r="J156" s="82"/>
      <c r="K156" s="546"/>
      <c r="L156" s="546"/>
      <c r="M156" s="546"/>
      <c r="N156" s="546"/>
      <c r="O156" s="546"/>
      <c r="P156" s="546"/>
      <c r="Q156" s="3835"/>
      <c r="S156" s="3484" t="str">
        <f>B156</f>
        <v>UNIT SQUARE FOOTAGE</v>
      </c>
      <c r="T156" s="3484"/>
      <c r="U156" s="3484"/>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9">
        <f>EI49</f>
        <v>0</v>
      </c>
      <c r="L157" s="1210">
        <f>EJ49</f>
        <v>2600</v>
      </c>
      <c r="M157" s="1210">
        <f>EK49</f>
        <v>2550</v>
      </c>
      <c r="N157" s="1210">
        <f>EL49</f>
        <v>1100</v>
      </c>
      <c r="O157" s="1211">
        <f>EM49</f>
        <v>0</v>
      </c>
      <c r="P157" s="1175">
        <f t="shared" ref="P157:P163" si="380">SUM(K157:O157)</f>
        <v>6250</v>
      </c>
      <c r="Q157" s="1361">
        <f t="shared" ref="Q157:Q163" si="381">IF(OR(P56=0,P56=""),"",P157/P56)</f>
        <v>781.25</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0</v>
      </c>
      <c r="M158" s="1240">
        <f>EP49</f>
        <v>0</v>
      </c>
      <c r="N158" s="1240">
        <f>EQ49</f>
        <v>0</v>
      </c>
      <c r="O158" s="1241">
        <f>ER49</f>
        <v>0</v>
      </c>
      <c r="P158" s="1176">
        <f t="shared" si="380"/>
        <v>0</v>
      </c>
      <c r="Q158" s="1361" t="str">
        <f t="shared" si="381"/>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22750</v>
      </c>
      <c r="M159" s="1240">
        <f>EU49</f>
        <v>17000</v>
      </c>
      <c r="N159" s="1240">
        <f>EV49</f>
        <v>13200</v>
      </c>
      <c r="O159" s="1241">
        <f>EW49</f>
        <v>0</v>
      </c>
      <c r="P159" s="1176">
        <f t="shared" si="380"/>
        <v>52950</v>
      </c>
      <c r="Q159" s="1361">
        <f t="shared" si="381"/>
        <v>790.29850746268653</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80"/>
        <v>0</v>
      </c>
      <c r="Q160" s="1361" t="str">
        <f t="shared" si="381"/>
        <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80"/>
        <v>0</v>
      </c>
      <c r="Q161" s="1361" t="str">
        <f t="shared" si="381"/>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6500</v>
      </c>
      <c r="M162" s="1240">
        <f>FJ49</f>
        <v>5100</v>
      </c>
      <c r="N162" s="1240">
        <f>FK49</f>
        <v>4400</v>
      </c>
      <c r="O162" s="1241">
        <f>FL49</f>
        <v>0</v>
      </c>
      <c r="P162" s="1176">
        <f t="shared" si="380"/>
        <v>16000</v>
      </c>
      <c r="Q162" s="1361">
        <f t="shared" si="381"/>
        <v>800</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80"/>
        <v>0</v>
      </c>
      <c r="Q163" s="1361" t="str">
        <f t="shared" si="381"/>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31850</v>
      </c>
      <c r="M164" s="1759">
        <f>SUM(M157:M163)</f>
        <v>24650</v>
      </c>
      <c r="N164" s="1759">
        <f>SUM(N157:N163)</f>
        <v>18700</v>
      </c>
      <c r="O164" s="1759">
        <f>SUM(O157:O163)</f>
        <v>0</v>
      </c>
      <c r="P164" s="1759">
        <f>SUM(K164:O164)</f>
        <v>75200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31850</v>
      </c>
      <c r="M166" s="1758">
        <f>SUM(M164:M165)</f>
        <v>24650</v>
      </c>
      <c r="N166" s="1758">
        <f>SUM(N164:N165)</f>
        <v>18700</v>
      </c>
      <c r="O166" s="1758">
        <f>SUM(O164:O165)</f>
        <v>0</v>
      </c>
      <c r="P166" s="1758">
        <f>SUM(K166:O166)</f>
        <v>75200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31850</v>
      </c>
      <c r="M168" s="1182">
        <f>SUM(M166:M167)</f>
        <v>24650</v>
      </c>
      <c r="N168" s="1182">
        <f>SUM(N166:N167)</f>
        <v>18700</v>
      </c>
      <c r="O168" s="1182">
        <f>SUM(O166:O167)</f>
        <v>0</v>
      </c>
      <c r="P168" s="1182">
        <f>SUM(K168:O168)</f>
        <v>75200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5"/>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650</v>
      </c>
      <c r="M171" s="1360">
        <f>IF(OR(M67="",M67=0),"",M168/M67)</f>
        <v>850</v>
      </c>
      <c r="N171" s="1360">
        <f>IF(OR(N67="",N67=0),"",N168/N67)</f>
        <v>1100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5"/>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5"/>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5"/>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15873.326400000002</v>
      </c>
      <c r="I176" s="3873"/>
      <c r="J176" s="387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8"/>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8"/>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48"/>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8"/>
    </row>
    <row r="180" spans="1:493" ht="15.6" customHeight="1">
      <c r="B180" s="109" t="s">
        <v>978</v>
      </c>
      <c r="C180" s="109"/>
      <c r="D180" s="109"/>
      <c r="E180" s="109"/>
      <c r="F180" s="109"/>
      <c r="H180" s="2926"/>
      <c r="I180" s="2926"/>
      <c r="J180" s="2926"/>
      <c r="K180" s="2926"/>
      <c r="L180" s="2926"/>
      <c r="M180" s="2926"/>
      <c r="N180" s="2926"/>
      <c r="O180" s="2926"/>
      <c r="P180" s="2926"/>
      <c r="Q180" s="2926"/>
      <c r="R180" s="768"/>
      <c r="S180" s="3839"/>
      <c r="T180" s="3840"/>
      <c r="U180" s="3840"/>
      <c r="V180" s="3840"/>
      <c r="W180" s="3841"/>
    </row>
    <row r="181" spans="1:493" ht="15.6" customHeight="1">
      <c r="B181" s="109" t="s">
        <v>711</v>
      </c>
      <c r="C181" s="3869"/>
      <c r="D181" s="3870"/>
      <c r="E181" s="3870"/>
      <c r="F181" s="3871"/>
      <c r="H181" s="2927"/>
      <c r="I181" s="2927"/>
      <c r="J181" s="2927"/>
      <c r="K181" s="2927"/>
      <c r="L181" s="2928"/>
      <c r="M181" s="2927"/>
      <c r="N181" s="2927"/>
      <c r="O181" s="2927"/>
      <c r="P181" s="2927"/>
      <c r="Q181" s="2927"/>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2">SUM(J180:J181)</f>
        <v>0</v>
      </c>
      <c r="K182" s="801">
        <f t="shared" si="382"/>
        <v>0</v>
      </c>
      <c r="L182" s="801">
        <f t="shared" si="382"/>
        <v>0</v>
      </c>
      <c r="M182" s="801">
        <f t="shared" si="382"/>
        <v>0</v>
      </c>
      <c r="N182" s="801">
        <f t="shared" si="382"/>
        <v>0</v>
      </c>
      <c r="O182" s="801">
        <f t="shared" si="382"/>
        <v>0</v>
      </c>
      <c r="P182" s="801">
        <f t="shared" si="382"/>
        <v>0</v>
      </c>
      <c r="Q182" s="801">
        <f t="shared" si="382"/>
        <v>0</v>
      </c>
      <c r="R182" s="117"/>
      <c r="S182" s="3842"/>
      <c r="T182" s="3843"/>
      <c r="U182" s="3843"/>
      <c r="V182" s="3843"/>
      <c r="W182" s="3844"/>
      <c r="NP182" s="2848"/>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6"/>
      <c r="I184" s="2926"/>
      <c r="J184" s="2926"/>
      <c r="K184" s="2926"/>
      <c r="L184" s="2926"/>
      <c r="M184" s="2926"/>
      <c r="N184" s="2926"/>
      <c r="O184" s="2926"/>
      <c r="P184" s="2926"/>
      <c r="Q184" s="2926"/>
      <c r="R184" s="768"/>
      <c r="S184" s="3839"/>
      <c r="T184" s="3840"/>
      <c r="U184" s="3840"/>
      <c r="V184" s="3840"/>
      <c r="W184" s="3841"/>
    </row>
    <row r="185" spans="1:493" ht="15.6" customHeight="1">
      <c r="B185" s="109" t="s">
        <v>711</v>
      </c>
      <c r="C185" s="3869"/>
      <c r="D185" s="3870"/>
      <c r="E185" s="3870"/>
      <c r="F185" s="3871"/>
      <c r="H185" s="2927"/>
      <c r="I185" s="2927"/>
      <c r="J185" s="2927"/>
      <c r="K185" s="2927"/>
      <c r="L185" s="2928"/>
      <c r="M185" s="2927"/>
      <c r="N185" s="2927"/>
      <c r="O185" s="2927"/>
      <c r="P185" s="2927"/>
      <c r="Q185" s="2927"/>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3">SUM(J184:J185)</f>
        <v>0</v>
      </c>
      <c r="K186" s="801">
        <f t="shared" si="383"/>
        <v>0</v>
      </c>
      <c r="L186" s="801">
        <f t="shared" si="383"/>
        <v>0</v>
      </c>
      <c r="M186" s="801">
        <f t="shared" si="383"/>
        <v>0</v>
      </c>
      <c r="N186" s="801">
        <f t="shared" si="383"/>
        <v>0</v>
      </c>
      <c r="O186" s="801">
        <f t="shared" si="383"/>
        <v>0</v>
      </c>
      <c r="P186" s="801">
        <f t="shared" si="383"/>
        <v>0</v>
      </c>
      <c r="Q186" s="801">
        <f t="shared" si="383"/>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6"/>
      <c r="I189" s="2926"/>
      <c r="J189" s="2926"/>
      <c r="K189" s="2926"/>
      <c r="L189" s="2929"/>
      <c r="M189" s="2926"/>
      <c r="N189" s="2926"/>
      <c r="O189" s="2926"/>
      <c r="P189" s="2926"/>
      <c r="Q189" s="2926"/>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7"/>
      <c r="I190" s="2927"/>
      <c r="J190" s="2927"/>
      <c r="K190" s="2927"/>
      <c r="L190" s="2928"/>
      <c r="M190" s="2927"/>
      <c r="N190" s="2927"/>
      <c r="O190" s="2927"/>
      <c r="P190" s="2927"/>
      <c r="Q190" s="2927"/>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4">SUM(J189:J190)</f>
        <v>0</v>
      </c>
      <c r="K191" s="801">
        <f t="shared" si="384"/>
        <v>0</v>
      </c>
      <c r="L191" s="801">
        <f t="shared" si="384"/>
        <v>0</v>
      </c>
      <c r="M191" s="801">
        <f t="shared" si="384"/>
        <v>0</v>
      </c>
      <c r="N191" s="801">
        <f t="shared" si="384"/>
        <v>0</v>
      </c>
      <c r="O191" s="801">
        <f t="shared" si="384"/>
        <v>0</v>
      </c>
      <c r="P191" s="801">
        <f t="shared" si="384"/>
        <v>0</v>
      </c>
      <c r="Q191" s="801">
        <f t="shared" si="384"/>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6"/>
      <c r="I193" s="2926"/>
      <c r="J193" s="2926"/>
      <c r="K193" s="2926"/>
      <c r="L193" s="2929"/>
      <c r="M193" s="2926"/>
      <c r="N193" s="2926"/>
      <c r="O193" s="2926"/>
      <c r="P193" s="2926"/>
      <c r="Q193" s="2926"/>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7"/>
      <c r="I194" s="2927"/>
      <c r="J194" s="2927"/>
      <c r="K194" s="2927"/>
      <c r="L194" s="2928"/>
      <c r="M194" s="2927"/>
      <c r="N194" s="2927"/>
      <c r="O194" s="2927"/>
      <c r="P194" s="2927"/>
      <c r="Q194" s="2927"/>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5">SUM(J193:J194)</f>
        <v>0</v>
      </c>
      <c r="K195" s="801">
        <f t="shared" si="385"/>
        <v>0</v>
      </c>
      <c r="L195" s="801">
        <f t="shared" si="385"/>
        <v>0</v>
      </c>
      <c r="M195" s="801">
        <f t="shared" si="385"/>
        <v>0</v>
      </c>
      <c r="N195" s="801">
        <f t="shared" si="385"/>
        <v>0</v>
      </c>
      <c r="O195" s="801">
        <f t="shared" si="385"/>
        <v>0</v>
      </c>
      <c r="P195" s="801">
        <f t="shared" si="385"/>
        <v>0</v>
      </c>
      <c r="Q195" s="801">
        <f t="shared" si="385"/>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6"/>
      <c r="I198" s="2926"/>
      <c r="J198" s="2926"/>
      <c r="K198" s="2926"/>
      <c r="L198" s="2929"/>
      <c r="M198" s="2926"/>
      <c r="N198" s="2926"/>
      <c r="O198" s="2926"/>
      <c r="P198" s="2926"/>
      <c r="Q198" s="2926"/>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7"/>
      <c r="I199" s="2927"/>
      <c r="J199" s="2927"/>
      <c r="K199" s="2927"/>
      <c r="L199" s="2928"/>
      <c r="M199" s="2927"/>
      <c r="N199" s="2927"/>
      <c r="O199" s="2927"/>
      <c r="P199" s="2927"/>
      <c r="Q199" s="2927"/>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6">SUM(J198:J199)</f>
        <v>0</v>
      </c>
      <c r="K200" s="801">
        <f t="shared" si="386"/>
        <v>0</v>
      </c>
      <c r="L200" s="801">
        <f t="shared" si="386"/>
        <v>0</v>
      </c>
      <c r="M200" s="801">
        <f t="shared" si="386"/>
        <v>0</v>
      </c>
      <c r="N200" s="801">
        <f t="shared" si="386"/>
        <v>0</v>
      </c>
      <c r="O200" s="801">
        <f t="shared" si="386"/>
        <v>0</v>
      </c>
      <c r="P200" s="801">
        <f t="shared" si="386"/>
        <v>0</v>
      </c>
      <c r="Q200" s="801">
        <f t="shared" si="386"/>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6"/>
      <c r="I202" s="2926"/>
      <c r="J202" s="2926"/>
      <c r="K202" s="2926"/>
      <c r="L202" s="2929"/>
      <c r="M202" s="2926"/>
      <c r="N202" s="2926"/>
      <c r="O202" s="2926"/>
      <c r="P202" s="2926"/>
      <c r="Q202" s="2926"/>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7"/>
      <c r="I203" s="2927"/>
      <c r="J203" s="2927"/>
      <c r="K203" s="2927"/>
      <c r="L203" s="2928"/>
      <c r="M203" s="2927"/>
      <c r="N203" s="2927"/>
      <c r="O203" s="2927"/>
      <c r="P203" s="2927"/>
      <c r="Q203" s="2927"/>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7">SUM(J202:J203)</f>
        <v>0</v>
      </c>
      <c r="K204" s="801">
        <f t="shared" si="387"/>
        <v>0</v>
      </c>
      <c r="L204" s="801">
        <f t="shared" si="387"/>
        <v>0</v>
      </c>
      <c r="M204" s="801">
        <f t="shared" si="387"/>
        <v>0</v>
      </c>
      <c r="N204" s="801">
        <f t="shared" si="387"/>
        <v>0</v>
      </c>
      <c r="O204" s="801">
        <f t="shared" si="387"/>
        <v>0</v>
      </c>
      <c r="P204" s="801">
        <f t="shared" si="387"/>
        <v>0</v>
      </c>
      <c r="Q204" s="801">
        <f t="shared" si="387"/>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6"/>
      <c r="I207" s="2926"/>
      <c r="J207" s="2926"/>
      <c r="K207" s="2926"/>
      <c r="L207" s="2929"/>
      <c r="M207" s="89"/>
      <c r="N207" s="89"/>
      <c r="O207" s="89"/>
      <c r="P207" s="89"/>
      <c r="Q207" s="89"/>
      <c r="R207" s="8"/>
      <c r="S207" s="3839"/>
      <c r="T207" s="3840"/>
      <c r="U207" s="3840"/>
      <c r="V207" s="3840"/>
      <c r="W207" s="3841"/>
    </row>
    <row r="208" spans="1:493" ht="15.6" customHeight="1">
      <c r="B208" s="109" t="s">
        <v>711</v>
      </c>
      <c r="C208" s="3869"/>
      <c r="D208" s="3870"/>
      <c r="E208" s="3870"/>
      <c r="F208" s="3871"/>
      <c r="H208" s="2927"/>
      <c r="I208" s="2927"/>
      <c r="J208" s="2927"/>
      <c r="K208" s="2927"/>
      <c r="L208" s="2928"/>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6"/>
      <c r="I211" s="2926"/>
      <c r="J211" s="2926"/>
      <c r="K211" s="2926"/>
      <c r="L211" s="2929"/>
      <c r="M211" s="89"/>
      <c r="N211" s="89"/>
      <c r="O211" s="89"/>
      <c r="P211" s="89"/>
      <c r="Q211" s="89"/>
      <c r="R211" s="8"/>
      <c r="S211" s="3839"/>
      <c r="T211" s="3840"/>
      <c r="U211" s="3840"/>
      <c r="V211" s="3840"/>
      <c r="W211" s="3841"/>
    </row>
    <row r="212" spans="1:493" ht="15.6" customHeight="1">
      <c r="B212" s="109" t="s">
        <v>711</v>
      </c>
      <c r="C212" s="3869"/>
      <c r="D212" s="3870"/>
      <c r="E212" s="3870"/>
      <c r="F212" s="3871"/>
      <c r="H212" s="2927"/>
      <c r="I212" s="2927"/>
      <c r="J212" s="2927"/>
      <c r="K212" s="2927"/>
      <c r="L212" s="2928"/>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5"/>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5"/>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52701</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5"/>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97584</v>
      </c>
      <c r="G218" s="3898"/>
      <c r="H218" s="1"/>
      <c r="I218" s="1" t="s">
        <v>1329</v>
      </c>
      <c r="K218" s="1"/>
      <c r="L218" s="3897">
        <v>2700</v>
      </c>
      <c r="M218" s="3898"/>
      <c r="N218" s="1"/>
      <c r="O218" s="384">
        <f>+Q217/(P67*0.93)</f>
        <v>596.50254668930381</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5"/>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58551</v>
      </c>
      <c r="G219" s="3892"/>
      <c r="H219" s="1"/>
      <c r="I219" s="1" t="s">
        <v>1330</v>
      </c>
      <c r="K219" s="1"/>
      <c r="L219" s="3893">
        <v>2600</v>
      </c>
      <c r="M219" s="3894"/>
      <c r="N219" s="1"/>
      <c r="O219" s="384">
        <f>+Q217/(P67*0.93)/12</f>
        <v>49.708545557441987</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5"/>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5300</v>
      </c>
      <c r="M220" s="3900"/>
      <c r="N220" s="1"/>
      <c r="O220" s="36" t="s">
        <v>3354</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5"/>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8"/>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8"/>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8"/>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156135</v>
      </c>
      <c r="G224" s="3900"/>
      <c r="H224" s="1"/>
      <c r="I224" s="1" t="s">
        <v>1536</v>
      </c>
      <c r="K224" s="1"/>
      <c r="L224" s="3882">
        <v>5000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8"/>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5000</v>
      </c>
      <c r="M225" s="3885"/>
      <c r="N225" s="3915" t="str">
        <f>IF(Q227="","",IF(Q225&lt;Q227, "WARNING! OE below required minimum.",""))</f>
        <v/>
      </c>
      <c r="O225" s="10" t="s">
        <v>2091</v>
      </c>
      <c r="P225" s="5"/>
      <c r="Q225" s="393">
        <f>F224+F233+F244+L220+L228+L237+L244+Q217</f>
        <v>476819</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8"/>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c r="M226" s="3885"/>
      <c r="N226" s="3915"/>
      <c r="O226" s="66" t="s">
        <v>2588</v>
      </c>
      <c r="P226" s="384">
        <f>+Q225/P67</f>
        <v>5019.1473684210523</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8"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1000</v>
      </c>
      <c r="G227" s="3898"/>
      <c r="H227" s="1"/>
      <c r="I227" s="3888" t="s">
        <v>46</v>
      </c>
      <c r="J227" s="3889"/>
      <c r="K227" s="3890"/>
      <c r="L227" s="3895"/>
      <c r="M227" s="3896"/>
      <c r="N227" s="3915"/>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427500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8"/>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2500</v>
      </c>
      <c r="G228" s="3892"/>
      <c r="H228" s="1"/>
      <c r="I228" s="10"/>
      <c r="K228" s="11" t="s">
        <v>183</v>
      </c>
      <c r="L228" s="3901">
        <f>SUM(L224:L227)</f>
        <v>10000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8"/>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1483</v>
      </c>
      <c r="G229" s="3892"/>
      <c r="H229" s="1"/>
      <c r="N229" s="1"/>
      <c r="R229" s="2665"/>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8"/>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65"/>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8"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12091</v>
      </c>
      <c r="G231" s="3892"/>
      <c r="H231" s="1"/>
      <c r="I231" s="10" t="s">
        <v>1326</v>
      </c>
      <c r="K231" s="2623" t="s">
        <v>4063</v>
      </c>
      <c r="O231" s="1395" t="s">
        <v>3206</v>
      </c>
      <c r="P231" s="10"/>
      <c r="Q231" s="2930">
        <f>Q240</f>
        <v>23750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8"/>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30.701754385964911</v>
      </c>
      <c r="L232" s="3882">
        <v>35000</v>
      </c>
      <c r="M232" s="3883"/>
      <c r="N232" s="3906" t="str">
        <f>IF(Q231&lt;Q240, "WARNING! RR proposed is below the DCA required minimum.","")</f>
        <v/>
      </c>
      <c r="O232" s="871" t="s">
        <v>4062</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8"/>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17074</v>
      </c>
      <c r="G233" s="3900"/>
      <c r="H233" s="1"/>
      <c r="I233" s="1" t="s">
        <v>1320</v>
      </c>
      <c r="K233" s="438">
        <f>L233/12/P67</f>
        <v>0</v>
      </c>
      <c r="L233" s="3884"/>
      <c r="M233" s="3885"/>
      <c r="N233" s="3907"/>
      <c r="O233" s="3908" t="s">
        <v>3362</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8"/>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61.228070175438603</v>
      </c>
      <c r="L234" s="3884">
        <v>69800</v>
      </c>
      <c r="M234" s="3885"/>
      <c r="N234" s="3907"/>
      <c r="O234" s="865" t="s">
        <v>2561</v>
      </c>
      <c r="P234" s="765" t="s">
        <v>3419</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8"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7500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8"/>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c r="G236" s="3912"/>
      <c r="H236" s="1"/>
      <c r="I236" s="3888" t="s">
        <v>46</v>
      </c>
      <c r="J236" s="3889"/>
      <c r="K236" s="3890"/>
      <c r="L236" s="3895"/>
      <c r="M236" s="3896"/>
      <c r="N236" s="3907"/>
      <c r="O236" s="464" t="s">
        <v>3172</v>
      </c>
      <c r="P236" s="770" t="str">
        <f>CONCATENATE(SUM(MF49:MJ49)," units x $",'DCA Underwriting Assumptions'!$Q$68," =")</f>
        <v>0 units x $350 =</v>
      </c>
      <c r="Q236" s="571">
        <f>SUM(MF49:MJ49)*'DCA Underwriting Assumptions'!$Q$68</f>
        <v>0</v>
      </c>
      <c r="R236" s="2931"/>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8"/>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12600</v>
      </c>
      <c r="G237" s="3914"/>
      <c r="H237" s="1"/>
      <c r="I237" s="1"/>
      <c r="K237" s="11" t="s">
        <v>183</v>
      </c>
      <c r="L237" s="3901">
        <f>SUM(L232:L236)</f>
        <v>112300</v>
      </c>
      <c r="M237" s="3902"/>
      <c r="N237" s="3907"/>
      <c r="O237" s="464" t="s">
        <v>3171</v>
      </c>
      <c r="P237" s="770" t="str">
        <f>CONCATENATE(SUM(MK49:MO49)," units x $",'DCA Underwriting Assumptions'!$Q$69," =")</f>
        <v>95 units x $250 =</v>
      </c>
      <c r="Q237" s="571">
        <f>SUM(MK49:MO49)*'DCA Underwriting Assumptions'!$Q$69</f>
        <v>23750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8"/>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30400</v>
      </c>
      <c r="G238" s="3914"/>
      <c r="H238" s="1"/>
      <c r="K238" s="1"/>
      <c r="L238" s="1"/>
      <c r="N238" s="3907"/>
      <c r="O238" s="572" t="s">
        <v>6831</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8"/>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5409</v>
      </c>
      <c r="G239" s="3892"/>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8"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6720</v>
      </c>
      <c r="G240" s="3892"/>
      <c r="H240" s="1"/>
      <c r="I240" s="10" t="s">
        <v>1327</v>
      </c>
      <c r="O240" s="868" t="s">
        <v>2564</v>
      </c>
      <c r="P240" s="869">
        <f>SUM(MF49:MJ49)+SUM(MK49:MO49)+SUM(MP49:MT49)+P125</f>
        <v>95</v>
      </c>
      <c r="Q240" s="870">
        <f>SUM(Q236:Q239)</f>
        <v>23750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8"/>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4121</v>
      </c>
      <c r="K241" s="1"/>
      <c r="L241" s="3882">
        <v>5000</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8"/>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3180</v>
      </c>
      <c r="G242" s="3892"/>
      <c r="H242" s="1"/>
      <c r="I242" s="1" t="s">
        <v>139</v>
      </c>
      <c r="K242" s="1"/>
      <c r="L242" s="3884">
        <v>60000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8"/>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8"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58309</v>
      </c>
      <c r="G244" s="3905"/>
      <c r="H244" s="1"/>
      <c r="K244" s="11" t="s">
        <v>183</v>
      </c>
      <c r="L244" s="3901">
        <f>SUM(L240:L243)</f>
        <v>65000</v>
      </c>
      <c r="M244" s="3903"/>
      <c r="N244" s="1"/>
      <c r="O244" s="10" t="s">
        <v>2092</v>
      </c>
      <c r="P244" s="1"/>
      <c r="Q244" s="393">
        <f>Q225+Q231</f>
        <v>500569</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8"/>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8"/>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8"/>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8"/>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833"/>
      <c r="L248" s="3834"/>
      <c r="M248" s="1359" t="s">
        <v>4090</v>
      </c>
      <c r="N248" s="2932"/>
      <c r="O248" s="10" t="s">
        <v>4055</v>
      </c>
      <c r="P248" s="1"/>
      <c r="Q248" s="2933">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8"/>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8"/>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2" t="s">
        <v>1691</v>
      </c>
      <c r="K250" s="1306" t="s">
        <v>4093</v>
      </c>
      <c r="L250" s="2842" t="s">
        <v>1691</v>
      </c>
      <c r="M250" s="72" t="s">
        <v>4094</v>
      </c>
      <c r="N250" s="2932"/>
      <c r="O250" s="445" t="s">
        <v>4092</v>
      </c>
      <c r="P250" s="1"/>
      <c r="Q250" s="2934"/>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8"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8"/>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3524</v>
      </c>
      <c r="B252" s="13" t="s">
        <v>543</v>
      </c>
      <c r="N252" s="13" t="s">
        <v>4051</v>
      </c>
      <c r="O252" s="13"/>
      <c r="NP252" s="2848"/>
    </row>
    <row r="253" spans="1:493" ht="408.75" customHeight="1">
      <c r="A253" s="3596" t="s">
        <v>7005</v>
      </c>
      <c r="B253" s="3596"/>
      <c r="C253" s="3596"/>
      <c r="D253" s="3596"/>
      <c r="E253" s="3596"/>
      <c r="F253" s="3596"/>
      <c r="G253" s="3596"/>
      <c r="H253" s="3596"/>
      <c r="I253" s="3596"/>
      <c r="J253" s="3596"/>
      <c r="K253" s="3596"/>
      <c r="L253" s="3596"/>
      <c r="M253" s="3596"/>
      <c r="N253" s="3595"/>
      <c r="O253" s="3595"/>
      <c r="P253" s="3595"/>
      <c r="Q253" s="3595"/>
      <c r="R253" s="3916" t="s">
        <v>3523</v>
      </c>
      <c r="S253" s="3130"/>
      <c r="T253" s="3130"/>
      <c r="U253" s="3130"/>
      <c r="NP253" s="2848"/>
    </row>
    <row r="254" spans="1:493" ht="11.25" customHeight="1">
      <c r="NP254" s="2848"/>
    </row>
    <row r="255" spans="1:493" ht="12" customHeight="1">
      <c r="NP255" s="2848"/>
    </row>
    <row r="256" spans="1:493" ht="12" customHeight="1">
      <c r="NP256" s="2848"/>
    </row>
    <row r="257" spans="1:493" ht="14.1" customHeight="1">
      <c r="NP257" s="2848"/>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5"/>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5"/>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5"/>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5"/>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5"/>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5"/>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8"/>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8"/>
    </row>
    <row r="266" spans="1:493" ht="14.1" customHeight="1">
      <c r="NP266" s="2848"/>
    </row>
    <row r="267" spans="1:493" ht="14.1" customHeight="1">
      <c r="NP267" s="2848"/>
    </row>
    <row r="268" spans="1:493" ht="14.1" customHeight="1">
      <c r="NP268" s="2848"/>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8"/>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8"/>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5"/>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5"/>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5"/>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8"/>
    </row>
    <row r="276" spans="1:493" ht="14.1" customHeight="1">
      <c r="NP276" s="2848"/>
    </row>
    <row r="277" spans="1:493" ht="14.1" customHeight="1">
      <c r="NP277" s="2848"/>
    </row>
    <row r="278" spans="1:493" ht="14.1" customHeight="1">
      <c r="NP278" s="2848"/>
    </row>
    <row r="279" spans="1:493" ht="14.1" customHeight="1">
      <c r="NP279" s="2848"/>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5"/>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5"/>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5"/>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5"/>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5"/>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8"/>
    </row>
    <row r="288" spans="1:493" ht="14.1" customHeight="1">
      <c r="NP288" s="2848"/>
    </row>
    <row r="289" spans="380:380" ht="14.1" customHeight="1">
      <c r="NP289" s="2848"/>
    </row>
    <row r="290" spans="380:380" ht="14.1" customHeight="1">
      <c r="NP290" s="2848"/>
    </row>
    <row r="291" spans="380:380" ht="14.1" customHeight="1">
      <c r="NP291" s="2848"/>
    </row>
    <row r="292" spans="380:380" ht="14.1" customHeight="1"/>
    <row r="293" spans="380:380" ht="14.1" customHeight="1"/>
    <row r="294" spans="380:380" ht="14.1" customHeight="1"/>
    <row r="295" spans="380:380" ht="14.1" customHeight="1"/>
    <row r="296" spans="380:380" ht="14.1" customHeight="1"/>
  </sheetData>
  <sheetProtection algorithmName="SHA-512" hashValue="TKR/Ffjh27SmdVPUrMd85+bRecEp9q+tju8yJBjHROowdAw8t7uA17aCmpNjy4S3tkHozTq8cQe8ERJWUM3s1w==" saltValue="8c7rJsYKXZyjurBjO1yh5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7: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5" bestFit="1" customWidth="1"/>
    <col min="27" max="27" width="8.85546875" style="1788"/>
    <col min="28" max="16384" width="8.85546875" style="8"/>
  </cols>
  <sheetData>
    <row r="1" spans="1:27" s="2805" customFormat="1" hidden="1">
      <c r="B1" s="2805" t="s">
        <v>6761</v>
      </c>
      <c r="C1" s="2805" t="s">
        <v>6762</v>
      </c>
      <c r="D1" s="2805" t="s">
        <v>6763</v>
      </c>
      <c r="E1" s="2805" t="s">
        <v>6764</v>
      </c>
      <c r="F1" s="2805" t="s">
        <v>6765</v>
      </c>
      <c r="G1" s="2805" t="s">
        <v>6766</v>
      </c>
      <c r="H1" s="2805" t="s">
        <v>6767</v>
      </c>
      <c r="I1" s="2805" t="s">
        <v>6768</v>
      </c>
      <c r="J1" s="2805" t="s">
        <v>6769</v>
      </c>
      <c r="K1" s="2805" t="s">
        <v>6770</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2021-018 Roswell Redevelopment Phase I, Roswell, Fulton County</v>
      </c>
      <c r="B2" s="3939"/>
      <c r="C2" s="3939"/>
      <c r="D2" s="3939"/>
      <c r="E2" s="3939"/>
      <c r="F2" s="3939"/>
      <c r="G2" s="3939"/>
      <c r="H2" s="3939"/>
      <c r="I2" s="3939"/>
      <c r="J2" s="3939"/>
      <c r="K2" s="3940"/>
      <c r="L2" s="10"/>
      <c r="M2" s="10"/>
      <c r="N2" s="3941" t="str">
        <f>A2</f>
        <v>PART SEVEN - OPERATING PRO FORMA  -  2021-018 Roswell Redevelopment Phase I, Roswell, Fulton County</v>
      </c>
      <c r="O2" s="3941"/>
      <c r="P2" s="10"/>
      <c r="Z2" s="2805"/>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
May 10 Rev</v>
      </c>
      <c r="D4" s="1010" t="s">
        <v>75</v>
      </c>
      <c r="E4" s="214"/>
      <c r="F4" s="1011" t="s">
        <v>3554</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3555</v>
      </c>
      <c r="E6" s="3850"/>
      <c r="F6" s="3850"/>
      <c r="G6" s="2935"/>
      <c r="H6" s="95" t="s">
        <v>1818</v>
      </c>
      <c r="K6" s="100">
        <f>IF(($B$15+$B$16+$B$17+$B$18)=0,"",B31/($B$15+$B$16+$B$17+$B$18))</f>
        <v>0</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6.9999958850049809E-2</v>
      </c>
      <c r="N8" s="3830"/>
      <c r="O8" s="3832"/>
      <c r="AA8" s="1788">
        <v>8</v>
      </c>
    </row>
    <row r="9" spans="1:27" ht="13.35" customHeight="1">
      <c r="A9" s="16" t="s">
        <v>2095</v>
      </c>
      <c r="B9" s="2936">
        <v>7.0000000000000007E-2</v>
      </c>
      <c r="C9" s="1297" t="str">
        <f>IF(B9&lt;0.07, "Must be &gt;= 7%!","")</f>
        <v/>
      </c>
      <c r="D9" s="78" t="s">
        <v>2391</v>
      </c>
      <c r="G9" s="2937" t="s">
        <v>2772</v>
      </c>
      <c r="H9" s="161" t="s">
        <v>1389</v>
      </c>
      <c r="K9" s="2938"/>
      <c r="N9" s="3830"/>
      <c r="O9" s="3832"/>
      <c r="AA9" s="1788">
        <v>9</v>
      </c>
    </row>
    <row r="10" spans="1:27">
      <c r="A10" s="16" t="s">
        <v>1367</v>
      </c>
      <c r="B10" s="77">
        <v>0.02</v>
      </c>
      <c r="D10" s="78" t="s">
        <v>1641</v>
      </c>
      <c r="G10" s="2939" t="s">
        <v>2769</v>
      </c>
      <c r="H10" s="161" t="s">
        <v>2251</v>
      </c>
      <c r="K10" s="2940">
        <v>7.0000000000000007E-2</v>
      </c>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5" t="s">
        <v>2499</v>
      </c>
      <c r="O14" s="3495"/>
      <c r="AA14" s="1788">
        <v>14</v>
      </c>
    </row>
    <row r="15" spans="1:27" ht="13.35" customHeight="1">
      <c r="A15" s="18" t="s">
        <v>2294</v>
      </c>
      <c r="B15" s="19">
        <f>'Part VI-Revenues &amp; Expenses'!$M$50</f>
        <v>793666.32000000007</v>
      </c>
      <c r="C15" s="19">
        <f t="shared" ref="C15:K15" si="1">$B$15*(1+$B$6)^(C14-1)</f>
        <v>809539.64640000009</v>
      </c>
      <c r="D15" s="19">
        <f t="shared" si="1"/>
        <v>825730.43932800007</v>
      </c>
      <c r="E15" s="19">
        <f t="shared" si="1"/>
        <v>842245.04811455996</v>
      </c>
      <c r="F15" s="19">
        <f t="shared" si="1"/>
        <v>859089.94907685125</v>
      </c>
      <c r="G15" s="19">
        <f t="shared" si="1"/>
        <v>876271.74805838836</v>
      </c>
      <c r="H15" s="19">
        <f t="shared" si="1"/>
        <v>893797.18301955611</v>
      </c>
      <c r="I15" s="19">
        <f t="shared" si="1"/>
        <v>911673.12667994702</v>
      </c>
      <c r="J15" s="19">
        <f t="shared" si="1"/>
        <v>929906.58921354602</v>
      </c>
      <c r="K15" s="20">
        <f t="shared" si="1"/>
        <v>948504.720997817</v>
      </c>
      <c r="N15" s="3839"/>
      <c r="O15" s="3841"/>
      <c r="S15" s="3934" t="s">
        <v>3560</v>
      </c>
      <c r="Z15" s="2805" t="s">
        <v>6771</v>
      </c>
      <c r="AA15" s="1788">
        <v>15</v>
      </c>
    </row>
    <row r="16" spans="1:27" ht="13.35" customHeight="1">
      <c r="A16" s="21" t="s">
        <v>977</v>
      </c>
      <c r="B16" s="22">
        <f>MIN(B15*B10,'Part VI-Revenues &amp; Expenses'!$H$176)</f>
        <v>15873.326400000002</v>
      </c>
      <c r="C16" s="22">
        <f t="shared" ref="C16:K16" si="2">$B$16*(1+$B$6)^(C14-1)</f>
        <v>16190.792928000003</v>
      </c>
      <c r="D16" s="22">
        <f t="shared" si="2"/>
        <v>16514.608786560002</v>
      </c>
      <c r="E16" s="22">
        <f t="shared" si="2"/>
        <v>16844.900962291202</v>
      </c>
      <c r="F16" s="22">
        <f t="shared" si="2"/>
        <v>17181.798981537024</v>
      </c>
      <c r="G16" s="22">
        <f t="shared" si="2"/>
        <v>17525.434961167768</v>
      </c>
      <c r="H16" s="22">
        <f t="shared" si="2"/>
        <v>17875.943660391124</v>
      </c>
      <c r="I16" s="22">
        <f t="shared" si="2"/>
        <v>18233.46253359894</v>
      </c>
      <c r="J16" s="22">
        <f t="shared" si="2"/>
        <v>18598.131784270921</v>
      </c>
      <c r="K16" s="23">
        <f t="shared" si="2"/>
        <v>18970.094419956342</v>
      </c>
      <c r="N16" s="3830"/>
      <c r="O16" s="3832"/>
      <c r="S16" s="3935"/>
      <c r="Z16" s="2805" t="s">
        <v>6771</v>
      </c>
      <c r="AA16" s="1788">
        <v>16</v>
      </c>
    </row>
    <row r="17" spans="1:27" ht="13.35" customHeight="1">
      <c r="A17" s="21" t="s">
        <v>2295</v>
      </c>
      <c r="B17" s="22">
        <f t="shared" ref="B17:K17" si="3">-(B15+B16)*$B$9</f>
        <v>-56667.775248000013</v>
      </c>
      <c r="C17" s="22">
        <f t="shared" si="3"/>
        <v>-57801.130752960009</v>
      </c>
      <c r="D17" s="22">
        <f t="shared" si="3"/>
        <v>-58957.153368019208</v>
      </c>
      <c r="E17" s="22">
        <f t="shared" si="3"/>
        <v>-60136.296435379583</v>
      </c>
      <c r="F17" s="22">
        <f t="shared" si="3"/>
        <v>-61339.022364087185</v>
      </c>
      <c r="G17" s="22">
        <f t="shared" si="3"/>
        <v>-62565.802811368936</v>
      </c>
      <c r="H17" s="22">
        <f t="shared" si="3"/>
        <v>-63817.118867596313</v>
      </c>
      <c r="I17" s="22">
        <f t="shared" si="3"/>
        <v>-65093.461244948216</v>
      </c>
      <c r="J17" s="22">
        <f t="shared" si="3"/>
        <v>-66395.330469847191</v>
      </c>
      <c r="K17" s="23">
        <f t="shared" si="3"/>
        <v>-67723.237079244136</v>
      </c>
      <c r="N17" s="3830"/>
      <c r="O17" s="3832"/>
      <c r="Q17" s="3937" t="s">
        <v>3437</v>
      </c>
      <c r="R17" s="3937" t="s">
        <v>3559</v>
      </c>
      <c r="S17" s="3935"/>
      <c r="Z17" s="2805"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5"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5" t="s">
        <v>6771</v>
      </c>
      <c r="AA19" s="1788">
        <v>19</v>
      </c>
    </row>
    <row r="20" spans="1:27" ht="13.35" customHeight="1">
      <c r="A20" s="409" t="s">
        <v>4013</v>
      </c>
      <c r="B20" s="22">
        <f>SUM(B15:B19)</f>
        <v>752871.87115200004</v>
      </c>
      <c r="C20" s="22">
        <f t="shared" ref="C20:K20" si="4">SUM(C15:C19)</f>
        <v>767929.30857504008</v>
      </c>
      <c r="D20" s="22">
        <f t="shared" si="4"/>
        <v>783287.89474654081</v>
      </c>
      <c r="E20" s="22">
        <f t="shared" si="4"/>
        <v>798953.65264147159</v>
      </c>
      <c r="F20" s="22">
        <f t="shared" si="4"/>
        <v>814932.72569430107</v>
      </c>
      <c r="G20" s="22">
        <f t="shared" si="4"/>
        <v>831231.38020818715</v>
      </c>
      <c r="H20" s="22">
        <f t="shared" si="4"/>
        <v>847856.00781235099</v>
      </c>
      <c r="I20" s="22">
        <f t="shared" si="4"/>
        <v>864813.12796859769</v>
      </c>
      <c r="J20" s="22">
        <f t="shared" si="4"/>
        <v>882109.39052796969</v>
      </c>
      <c r="K20" s="23">
        <f t="shared" si="4"/>
        <v>899751.57833852922</v>
      </c>
      <c r="N20" s="3830"/>
      <c r="O20" s="3832"/>
      <c r="Z20" s="2805" t="s">
        <v>6771</v>
      </c>
      <c r="AA20" s="1787">
        <v>20</v>
      </c>
    </row>
    <row r="21" spans="1:27" ht="13.35" customHeight="1">
      <c r="A21" s="21" t="s">
        <v>585</v>
      </c>
      <c r="B21" s="22">
        <f>-('Part VI-Revenues &amp; Expenses'!$Q$225-'Part VI-Revenues &amp; Expenses'!$Q$217)</f>
        <v>-424118</v>
      </c>
      <c r="C21" s="22">
        <f t="shared" ref="C21:K21" si="5">$B$21*(1+$B$7)^(C14-1)</f>
        <v>-436841.54000000004</v>
      </c>
      <c r="D21" s="22">
        <f t="shared" si="5"/>
        <v>-449946.78619999997</v>
      </c>
      <c r="E21" s="22">
        <f t="shared" si="5"/>
        <v>-463445.189786</v>
      </c>
      <c r="F21" s="22">
        <f t="shared" si="5"/>
        <v>-477348.54547957995</v>
      </c>
      <c r="G21" s="22">
        <f t="shared" si="5"/>
        <v>-491669.00184396736</v>
      </c>
      <c r="H21" s="22">
        <f t="shared" si="5"/>
        <v>-506419.07189928641</v>
      </c>
      <c r="I21" s="22">
        <f t="shared" si="5"/>
        <v>-521611.64405626501</v>
      </c>
      <c r="J21" s="22">
        <f t="shared" si="5"/>
        <v>-537259.99337795284</v>
      </c>
      <c r="K21" s="23">
        <f t="shared" si="5"/>
        <v>-553377.79317929153</v>
      </c>
      <c r="N21" s="3830"/>
      <c r="O21" s="3832"/>
      <c r="Q21" s="62">
        <v>1</v>
      </c>
      <c r="R21" s="945">
        <f>-B32</f>
        <v>64835.375364369451</v>
      </c>
      <c r="S21" s="945">
        <f>B33+R21</f>
        <v>64835.375364369451</v>
      </c>
      <c r="Z21" s="2805"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-52701</v>
      </c>
      <c r="C22" s="22">
        <f>IF(AND('Part VII-Pro Forma'!$G$9="Yes",'Part VII-Pro Forma'!$G$10="Yes"),"Choose One!",IF('Part VII-Pro Forma'!$G$9="Yes",ROUND((-$K$9*(1+'Part VII-Pro Forma'!$B$7)^('Part VII-Pro Forma'!C14-1)),),IF('Part VII-Pro Forma'!$G$10="Yes",ROUND((-(SUM(C15:C18)*'Part VII-Pro Forma'!$K$10)),),"Choose mgt fee")))</f>
        <v>-53755</v>
      </c>
      <c r="D22" s="22">
        <f>IF(AND('Part VII-Pro Forma'!$G$9="Yes",'Part VII-Pro Forma'!$G$10="Yes"),"Choose One!",IF('Part VII-Pro Forma'!$G$9="Yes",ROUND((-$K$9*(1+'Part VII-Pro Forma'!$B$7)^('Part VII-Pro Forma'!D14-1)),),IF('Part VII-Pro Forma'!$G$10="Yes",ROUND((-(SUM(D15:D18)*'Part VII-Pro Forma'!$K$10)),),"Choose mgt fee")))</f>
        <v>-54830</v>
      </c>
      <c r="E22" s="22">
        <f>IF(AND('Part VII-Pro Forma'!$G$9="Yes",'Part VII-Pro Forma'!$G$10="Yes"),"Choose One!",IF('Part VII-Pro Forma'!$G$9="Yes",ROUND((-$K$9*(1+'Part VII-Pro Forma'!$B$7)^('Part VII-Pro Forma'!E14-1)),),IF('Part VII-Pro Forma'!$G$10="Yes",ROUND((-(SUM(E15:E18)*'Part VII-Pro Forma'!$K$10)),),"Choose mgt fee")))</f>
        <v>-55927</v>
      </c>
      <c r="F22" s="22">
        <f>IF(AND('Part VII-Pro Forma'!$G$9="Yes",'Part VII-Pro Forma'!$G$10="Yes"),"Choose One!",IF('Part VII-Pro Forma'!$G$9="Yes",ROUND((-$K$9*(1+'Part VII-Pro Forma'!$B$7)^('Part VII-Pro Forma'!F14-1)),),IF('Part VII-Pro Forma'!$G$10="Yes",ROUND((-(SUM(F15:F18)*'Part VII-Pro Forma'!$K$10)),),"Choose mgt fee")))</f>
        <v>-57045</v>
      </c>
      <c r="G22" s="22">
        <f>IF(AND('Part VII-Pro Forma'!$G$9="Yes",'Part VII-Pro Forma'!$G$10="Yes"),"Choose One!",IF('Part VII-Pro Forma'!$G$9="Yes",ROUND((-$K$9*(1+'Part VII-Pro Forma'!$B$7)^('Part VII-Pro Forma'!G14-1)),),IF('Part VII-Pro Forma'!$G$10="Yes",ROUND((-(SUM(G15:G18)*'Part VII-Pro Forma'!$K$10)),),"Choose mgt fee")))</f>
        <v>-58186</v>
      </c>
      <c r="H22" s="22">
        <f>IF(AND('Part VII-Pro Forma'!$G$9="Yes",'Part VII-Pro Forma'!$G$10="Yes"),"Choose One!",IF('Part VII-Pro Forma'!$G$9="Yes",ROUND((-$K$9*(1+'Part VII-Pro Forma'!$B$7)^('Part VII-Pro Forma'!H14-1)),),IF('Part VII-Pro Forma'!$G$10="Yes",ROUND((-(SUM(H15:H18)*'Part VII-Pro Forma'!$K$10)),),"Choose mgt fee")))</f>
        <v>-59350</v>
      </c>
      <c r="I22" s="22">
        <f>IF(AND('Part VII-Pro Forma'!$G$9="Yes",'Part VII-Pro Forma'!$G$10="Yes"),"Choose One!",IF('Part VII-Pro Forma'!$G$9="Yes",ROUND((-$K$9*(1+'Part VII-Pro Forma'!$B$7)^('Part VII-Pro Forma'!I14-1)),),IF('Part VII-Pro Forma'!$G$10="Yes",ROUND((-(SUM(I15:I18)*'Part VII-Pro Forma'!$K$10)),),"Choose mgt fee")))</f>
        <v>-60537</v>
      </c>
      <c r="J22" s="22">
        <f>IF(AND('Part VII-Pro Forma'!$G$9="Yes",'Part VII-Pro Forma'!$G$10="Yes"),"Choose One!",IF('Part VII-Pro Forma'!$G$9="Yes",ROUND((-$K$9*(1+'Part VII-Pro Forma'!$B$7)^('Part VII-Pro Forma'!J14-1)),),IF('Part VII-Pro Forma'!$G$10="Yes",ROUND((-(SUM(J15:J18)*'Part VII-Pro Forma'!$K$10)),),"Choose mgt fee")))</f>
        <v>-61748</v>
      </c>
      <c r="K22" s="23">
        <f>IF(AND('Part VII-Pro Forma'!$G$9="Yes",'Part VII-Pro Forma'!$G$10="Yes"),"Choose One!",IF('Part VII-Pro Forma'!$G$9="Yes",ROUND((-$K$9*(1+'Part VII-Pro Forma'!$B$7)^('Part VII-Pro Forma'!K14-1)),),IF('Part VII-Pro Forma'!$G$10="Yes",ROUND((-(SUM(K15:K18)*'Part VII-Pro Forma'!$K$10)),),"Choose mgt fee")))</f>
        <v>-62983</v>
      </c>
      <c r="N22" s="3830"/>
      <c r="O22" s="3832"/>
      <c r="Q22" s="62">
        <v>2</v>
      </c>
      <c r="R22" s="945">
        <f>-SUM(B32:C32)</f>
        <v>130238.14815177891</v>
      </c>
      <c r="S22" s="945">
        <f>SUM(B33:C33)+R22</f>
        <v>130238.14815177891</v>
      </c>
      <c r="Z22" s="2805" t="s">
        <v>6771</v>
      </c>
      <c r="AA22" s="1788">
        <v>22</v>
      </c>
    </row>
    <row r="23" spans="1:27" ht="13.35" customHeight="1">
      <c r="A23" s="21" t="s">
        <v>1156</v>
      </c>
      <c r="B23" s="22">
        <f>-('Part VI-Revenues &amp; Expenses'!$Q$231)</f>
        <v>-23750</v>
      </c>
      <c r="C23" s="22">
        <f t="shared" ref="C23:K23" si="6">$B$23*(1+$B$8)^(C14-1)</f>
        <v>-24462.5</v>
      </c>
      <c r="D23" s="22">
        <f t="shared" si="6"/>
        <v>-25196.375</v>
      </c>
      <c r="E23" s="22">
        <f t="shared" si="6"/>
        <v>-25952.266250000001</v>
      </c>
      <c r="F23" s="22">
        <f t="shared" si="6"/>
        <v>-26730.834237499999</v>
      </c>
      <c r="G23" s="22">
        <f t="shared" si="6"/>
        <v>-27532.759264624998</v>
      </c>
      <c r="H23" s="22">
        <f t="shared" si="6"/>
        <v>-28358.742042563747</v>
      </c>
      <c r="I23" s="22">
        <f t="shared" si="6"/>
        <v>-29209.504303840662</v>
      </c>
      <c r="J23" s="22">
        <f t="shared" si="6"/>
        <v>-30085.789432955877</v>
      </c>
      <c r="K23" s="23">
        <f t="shared" si="6"/>
        <v>-30988.363115944554</v>
      </c>
      <c r="N23" s="3830"/>
      <c r="O23" s="3832"/>
      <c r="Q23" s="62">
        <v>3</v>
      </c>
      <c r="R23" s="945">
        <f>-SUM(B32:D32)</f>
        <v>196085.38591068916</v>
      </c>
      <c r="S23" s="945">
        <f>SUM(B33:D33)+R23</f>
        <v>196085.38591068916</v>
      </c>
      <c r="Z23" s="2805" t="s">
        <v>6771</v>
      </c>
      <c r="AA23" s="1788">
        <v>23</v>
      </c>
    </row>
    <row r="24" spans="1:27" ht="13.35" customHeight="1">
      <c r="A24" s="409" t="s">
        <v>4012</v>
      </c>
      <c r="B24" s="2941">
        <f>IF(B14&lt;=+'Part VI-Revenues &amp; Expenses'!$N$248,-'Part VI-Revenues &amp; Expenses'!$K$248,0)</f>
        <v>0</v>
      </c>
      <c r="C24" s="2941">
        <f>IF(C14&lt;=+'Part VI-Revenues &amp; Expenses'!$N$248,-'Part VI-Revenues &amp; Expenses'!$K$248,0)</f>
        <v>0</v>
      </c>
      <c r="D24" s="2941">
        <f>IF(D14&lt;=+'Part VI-Revenues &amp; Expenses'!$N$248,-'Part VI-Revenues &amp; Expenses'!$K$248,0)</f>
        <v>0</v>
      </c>
      <c r="E24" s="2941">
        <f>IF(E14&lt;=+'Part VI-Revenues &amp; Expenses'!$N$248,-'Part VI-Revenues &amp; Expenses'!$K$248,0)</f>
        <v>0</v>
      </c>
      <c r="F24" s="2941">
        <f>IF(F14&lt;=+'Part VI-Revenues &amp; Expenses'!$N$248,-'Part VI-Revenues &amp; Expenses'!$K$248,0)</f>
        <v>0</v>
      </c>
      <c r="G24" s="2941">
        <f>IF(G14&lt;=+'Part VI-Revenues &amp; Expenses'!$N$248,-'Part VI-Revenues &amp; Expenses'!$K$248,0)</f>
        <v>0</v>
      </c>
      <c r="H24" s="2941">
        <f>IF(H14&lt;=+'Part VI-Revenues &amp; Expenses'!$N$248,-'Part VI-Revenues &amp; Expenses'!$K$248,0)</f>
        <v>0</v>
      </c>
      <c r="I24" s="2941">
        <f>IF(I14&lt;=+'Part VI-Revenues &amp; Expenses'!$N$248,-'Part VI-Revenues &amp; Expenses'!$K$248,0)</f>
        <v>0</v>
      </c>
      <c r="J24" s="2941">
        <f>IF(J14&lt;=+'Part VI-Revenues &amp; Expenses'!$N$248,-'Part VI-Revenues &amp; Expenses'!$K$248,0)</f>
        <v>0</v>
      </c>
      <c r="K24" s="2941">
        <f>IF(K14&lt;=+'Part VI-Revenues &amp; Expenses'!$N$248,-'Part VI-Revenues &amp; Expenses'!$K$248,0)</f>
        <v>0</v>
      </c>
      <c r="N24" s="3830"/>
      <c r="O24" s="3832"/>
      <c r="Q24" s="847">
        <v>4</v>
      </c>
      <c r="R24" s="945">
        <f>-SUM(B32:E32)</f>
        <v>262247.08672853018</v>
      </c>
      <c r="S24" s="945">
        <f>SUM(B33:E33)+R24</f>
        <v>262247.08672853018</v>
      </c>
      <c r="Z24" s="2805" t="s">
        <v>6771</v>
      </c>
      <c r="AA24" s="1788">
        <v>24</v>
      </c>
    </row>
    <row r="25" spans="1:27" ht="13.35" customHeight="1">
      <c r="A25" s="21" t="s">
        <v>1157</v>
      </c>
      <c r="B25" s="22">
        <f>SUM(B20:B24)</f>
        <v>252302.87115200004</v>
      </c>
      <c r="C25" s="22">
        <f t="shared" ref="C25:J25" si="7">SUM(C20:C24)</f>
        <v>252870.26857504004</v>
      </c>
      <c r="D25" s="22">
        <f t="shared" si="7"/>
        <v>253314.73354654084</v>
      </c>
      <c r="E25" s="22">
        <f t="shared" si="7"/>
        <v>253629.1966054716</v>
      </c>
      <c r="F25" s="22">
        <f t="shared" si="7"/>
        <v>253808.34597722112</v>
      </c>
      <c r="G25" s="22">
        <f t="shared" si="7"/>
        <v>253843.6190995948</v>
      </c>
      <c r="H25" s="22">
        <f t="shared" si="7"/>
        <v>253728.19387050084</v>
      </c>
      <c r="I25" s="22">
        <f t="shared" si="7"/>
        <v>253454.97960849202</v>
      </c>
      <c r="J25" s="22">
        <f t="shared" si="7"/>
        <v>253015.60771706098</v>
      </c>
      <c r="K25" s="1299">
        <f>SUM(K20:K24)</f>
        <v>252402.42204329313</v>
      </c>
      <c r="N25" s="3830"/>
      <c r="O25" s="3832"/>
      <c r="Q25" s="847">
        <v>5</v>
      </c>
      <c r="R25" s="945">
        <f>-SUM(B32:F32)</f>
        <v>328587.93691812071</v>
      </c>
      <c r="S25" s="945">
        <f>SUM(B33:F33)+R25</f>
        <v>328587.93691812071</v>
      </c>
      <c r="Z25" s="2805" t="s">
        <v>6771</v>
      </c>
      <c r="AA25" s="1787">
        <v>25</v>
      </c>
    </row>
    <row r="26" spans="1:27" ht="13.35" customHeight="1">
      <c r="A26" s="409" t="s">
        <v>1525</v>
      </c>
      <c r="B26" s="2942">
        <f>IF('Part III-Sources of Funds'!$P$40="", 0,-'Part III-Sources of Funds'!$P$40)</f>
        <v>-187467.49578763059</v>
      </c>
      <c r="C26" s="2942">
        <f>IF('Part III-Sources of Funds'!$P$40="", 0,-'Part III-Sources of Funds'!$P$40)</f>
        <v>-187467.49578763059</v>
      </c>
      <c r="D26" s="2942">
        <f>IF('Part III-Sources of Funds'!$P$40="", 0,-'Part III-Sources of Funds'!$P$40)</f>
        <v>-187467.49578763059</v>
      </c>
      <c r="E26" s="2942">
        <f>IF('Part III-Sources of Funds'!$P$40="", 0,-'Part III-Sources of Funds'!$P$40)</f>
        <v>-187467.49578763059</v>
      </c>
      <c r="F26" s="2942">
        <f>IF('Part III-Sources of Funds'!$P$40="", 0,-'Part III-Sources of Funds'!$P$40)</f>
        <v>-187467.49578763059</v>
      </c>
      <c r="G26" s="2942">
        <f>IF('Part III-Sources of Funds'!$P$40="", 0,-'Part III-Sources of Funds'!$P$40)</f>
        <v>-187467.49578763059</v>
      </c>
      <c r="H26" s="2942">
        <f>IF('Part III-Sources of Funds'!$P$40="", 0,-'Part III-Sources of Funds'!$P$40)</f>
        <v>-187467.49578763059</v>
      </c>
      <c r="I26" s="2942">
        <f>IF('Part III-Sources of Funds'!$P$40="", 0,-'Part III-Sources of Funds'!$P$40)</f>
        <v>-187467.49578763059</v>
      </c>
      <c r="J26" s="2942">
        <f>IF('Part III-Sources of Funds'!$P$40="", 0,-'Part III-Sources of Funds'!$P$40)</f>
        <v>-187467.49578763059</v>
      </c>
      <c r="K26" s="2942">
        <f>IF('Part III-Sources of Funds'!$P$40="", 0,-'Part III-Sources of Funds'!$P$40)</f>
        <v>-187467.49578763059</v>
      </c>
      <c r="N26" s="3830"/>
      <c r="O26" s="3832"/>
      <c r="Q26" s="847">
        <v>6</v>
      </c>
      <c r="R26" s="945">
        <f>-SUM(B32:G32)</f>
        <v>357417.13068950898</v>
      </c>
      <c r="S26" s="945">
        <f>SUM(B33:G33)+R26</f>
        <v>394964.06023008493</v>
      </c>
      <c r="Z26" s="2805" t="s">
        <v>6771</v>
      </c>
      <c r="AA26" s="1788">
        <v>26</v>
      </c>
    </row>
    <row r="27" spans="1:27" ht="13.35" customHeight="1">
      <c r="A27" s="409" t="s">
        <v>1526</v>
      </c>
      <c r="B27" s="2943">
        <f>IF('Part III-Sources of Funds'!$P$41="", 0,-'Part III-Sources of Funds'!$P$41)</f>
        <v>0</v>
      </c>
      <c r="C27" s="2943">
        <f>IF('Part III-Sources of Funds'!$P$41="", 0,-'Part III-Sources of Funds'!$P$41)</f>
        <v>0</v>
      </c>
      <c r="D27" s="2943">
        <f>IF('Part III-Sources of Funds'!$P$41="", 0,-'Part III-Sources of Funds'!$P$41)</f>
        <v>0</v>
      </c>
      <c r="E27" s="2943">
        <f>IF('Part III-Sources of Funds'!$P$41="", 0,-'Part III-Sources of Funds'!$P$41)</f>
        <v>0</v>
      </c>
      <c r="F27" s="2943">
        <f>IF('Part III-Sources of Funds'!$P$41="", 0,-'Part III-Sources of Funds'!$P$41)</f>
        <v>0</v>
      </c>
      <c r="G27" s="2943">
        <f>IF('Part III-Sources of Funds'!$P$41="", 0,-'Part III-Sources of Funds'!$P$41)</f>
        <v>0</v>
      </c>
      <c r="H27" s="2943">
        <f>IF('Part III-Sources of Funds'!$P$41="", 0,-'Part III-Sources of Funds'!$P$41)</f>
        <v>0</v>
      </c>
      <c r="I27" s="2943">
        <f>IF('Part III-Sources of Funds'!$P$41="", 0,-'Part III-Sources of Funds'!$P$41)</f>
        <v>0</v>
      </c>
      <c r="J27" s="2943">
        <f>IF('Part III-Sources of Funds'!$P$41="", 0,-'Part III-Sources of Funds'!$P$41)</f>
        <v>0</v>
      </c>
      <c r="K27" s="2943">
        <f>IF('Part III-Sources of Funds'!$P$41="", 0,-'Part III-Sources of Funds'!$P$41)</f>
        <v>0</v>
      </c>
      <c r="N27" s="3830"/>
      <c r="O27" s="3832"/>
      <c r="Q27" s="847">
        <v>7</v>
      </c>
      <c r="R27" s="945">
        <f>-SUM(B32:H32)</f>
        <v>357417.13068950898</v>
      </c>
      <c r="S27" s="945">
        <f>SUM(B33:H33)+R27</f>
        <v>461224.75831295515</v>
      </c>
      <c r="Z27" s="2805" t="s">
        <v>6771</v>
      </c>
      <c r="AA27" s="1788">
        <v>27</v>
      </c>
    </row>
    <row r="28" spans="1:27" ht="13.35" customHeight="1">
      <c r="A28" s="409" t="s">
        <v>1527</v>
      </c>
      <c r="B28" s="2943">
        <f>IF('Part III-Sources of Funds'!$P$42="", 0,-'Part III-Sources of Funds'!$P$42)</f>
        <v>0</v>
      </c>
      <c r="C28" s="2943">
        <f>IF('Part III-Sources of Funds'!$P$42="", 0,-'Part III-Sources of Funds'!$P$42)</f>
        <v>0</v>
      </c>
      <c r="D28" s="2943">
        <f>IF('Part III-Sources of Funds'!$P$42="", 0,-'Part III-Sources of Funds'!$P$42)</f>
        <v>0</v>
      </c>
      <c r="E28" s="2943">
        <f>IF('Part III-Sources of Funds'!$P$42="", 0,-'Part III-Sources of Funds'!$P$42)</f>
        <v>0</v>
      </c>
      <c r="F28" s="2943">
        <f>IF('Part III-Sources of Funds'!$P$42="", 0,-'Part III-Sources of Funds'!$P$42)</f>
        <v>0</v>
      </c>
      <c r="G28" s="2943">
        <f>IF('Part III-Sources of Funds'!$P$42="", 0,-'Part III-Sources of Funds'!$P$42)</f>
        <v>0</v>
      </c>
      <c r="H28" s="2943">
        <f>IF('Part III-Sources of Funds'!$P$42="", 0,-'Part III-Sources of Funds'!$P$42)</f>
        <v>0</v>
      </c>
      <c r="I28" s="2943">
        <f>IF('Part III-Sources of Funds'!$P$42="", 0,-'Part III-Sources of Funds'!$P$42)</f>
        <v>0</v>
      </c>
      <c r="J28" s="2943">
        <f>IF('Part III-Sources of Funds'!$P$42="", 0,-'Part III-Sources of Funds'!$P$42)</f>
        <v>0</v>
      </c>
      <c r="K28" s="2943">
        <f>IF('Part III-Sources of Funds'!$P$42="", 0,-'Part III-Sources of Funds'!$P$42)</f>
        <v>0</v>
      </c>
      <c r="N28" s="3830"/>
      <c r="O28" s="3832"/>
      <c r="Q28" s="847">
        <v>8</v>
      </c>
      <c r="R28" s="945">
        <f>-SUM(B32:I32)</f>
        <v>357417.13068950898</v>
      </c>
      <c r="S28" s="945">
        <f>SUM(B33:I33)+R28</f>
        <v>527212.24213381659</v>
      </c>
      <c r="Z28" s="2805" t="s">
        <v>6771</v>
      </c>
      <c r="AA28" s="1788">
        <v>28</v>
      </c>
    </row>
    <row r="29" spans="1:27" ht="13.35" customHeight="1">
      <c r="A29" s="409" t="s">
        <v>3420</v>
      </c>
      <c r="B29" s="2943">
        <f>IF('Part III-Sources of Funds'!$P$43="", 0,-'Part III-Sources of Funds'!$P$43)</f>
        <v>0</v>
      </c>
      <c r="C29" s="2943">
        <f>IF('Part III-Sources of Funds'!$P$43="", 0,-'Part III-Sources of Funds'!$P$43)</f>
        <v>0</v>
      </c>
      <c r="D29" s="2943">
        <f>IF('Part III-Sources of Funds'!$P$43="", 0,-'Part III-Sources of Funds'!$P$43)</f>
        <v>0</v>
      </c>
      <c r="E29" s="2943">
        <f>IF('Part III-Sources of Funds'!$P$43="", 0,-'Part III-Sources of Funds'!$P$43)</f>
        <v>0</v>
      </c>
      <c r="F29" s="2943">
        <f>IF('Part III-Sources of Funds'!$P$43="", 0,-'Part III-Sources of Funds'!$P$43)</f>
        <v>0</v>
      </c>
      <c r="G29" s="2943">
        <f>IF('Part III-Sources of Funds'!$P$43="", 0,-'Part III-Sources of Funds'!$P$43)</f>
        <v>0</v>
      </c>
      <c r="H29" s="2943">
        <f>IF('Part III-Sources of Funds'!$P$43="", 0,-'Part III-Sources of Funds'!$P$43)</f>
        <v>0</v>
      </c>
      <c r="I29" s="2943">
        <f>IF('Part III-Sources of Funds'!$P$43="", 0,-'Part III-Sources of Funds'!$P$43)</f>
        <v>0</v>
      </c>
      <c r="J29" s="2943">
        <f>IF('Part III-Sources of Funds'!$P$43="", 0,-'Part III-Sources of Funds'!$P$43)</f>
        <v>0</v>
      </c>
      <c r="K29" s="2943">
        <f>IF('Part III-Sources of Funds'!$P$43="", 0,-'Part III-Sources of Funds'!$P$43)</f>
        <v>0</v>
      </c>
      <c r="N29" s="3830"/>
      <c r="O29" s="3832"/>
      <c r="Q29" s="847">
        <v>9</v>
      </c>
      <c r="R29" s="945">
        <f>-SUM(B32:J32)</f>
        <v>357417.13068950898</v>
      </c>
      <c r="S29" s="945">
        <f>SUM(B33:J33)+R29</f>
        <v>592760.35406324698</v>
      </c>
      <c r="Z29" s="2805" t="s">
        <v>6771</v>
      </c>
      <c r="AA29" s="1788">
        <v>29</v>
      </c>
    </row>
    <row r="30" spans="1:27" ht="13.35" customHeight="1">
      <c r="A30" s="21" t="s">
        <v>733</v>
      </c>
      <c r="B30" s="2944"/>
      <c r="C30" s="2944"/>
      <c r="D30" s="2944"/>
      <c r="E30" s="2944"/>
      <c r="F30" s="2944"/>
      <c r="G30" s="2944"/>
      <c r="H30" s="2944"/>
      <c r="I30" s="2944"/>
      <c r="J30" s="2944"/>
      <c r="K30" s="2944"/>
      <c r="N30" s="3830"/>
      <c r="O30" s="3832"/>
      <c r="Q30" s="847">
        <v>10</v>
      </c>
      <c r="R30" s="945">
        <f>-SUM(B32:K32)</f>
        <v>357417.13068950898</v>
      </c>
      <c r="S30" s="945">
        <f>SUM(B33:K33)+R30</f>
        <v>657695.28031890956</v>
      </c>
      <c r="Z30" s="2805" t="s">
        <v>6771</v>
      </c>
      <c r="AA30" s="1788">
        <v>30</v>
      </c>
    </row>
    <row r="31" spans="1:27" ht="13.35" customHeight="1">
      <c r="A31" s="409" t="s">
        <v>1121</v>
      </c>
      <c r="B31" s="2945">
        <f>-$G$6</f>
        <v>0</v>
      </c>
      <c r="C31" s="2945">
        <f t="shared" ref="C31:K31" si="8">+B31</f>
        <v>0</v>
      </c>
      <c r="D31" s="2945">
        <f t="shared" si="8"/>
        <v>0</v>
      </c>
      <c r="E31" s="2945">
        <f>+D31</f>
        <v>0</v>
      </c>
      <c r="F31" s="2945">
        <f t="shared" si="8"/>
        <v>0</v>
      </c>
      <c r="G31" s="2945">
        <f t="shared" si="8"/>
        <v>0</v>
      </c>
      <c r="H31" s="2945">
        <f t="shared" si="8"/>
        <v>0</v>
      </c>
      <c r="I31" s="2945">
        <f t="shared" si="8"/>
        <v>0</v>
      </c>
      <c r="J31" s="2945">
        <f t="shared" si="8"/>
        <v>0</v>
      </c>
      <c r="K31" s="2945">
        <f t="shared" si="8"/>
        <v>0</v>
      </c>
      <c r="N31" s="3830"/>
      <c r="O31" s="3832"/>
      <c r="Q31" s="847">
        <v>11</v>
      </c>
      <c r="R31" s="945">
        <f>-SUM(B32:K32)-B64</f>
        <v>357417.13068950898</v>
      </c>
      <c r="S31" s="945">
        <f>SUM(B33:K33)+B65+R31</f>
        <v>721835.25345248566</v>
      </c>
      <c r="Z31" s="2805" t="s">
        <v>6771</v>
      </c>
      <c r="AA31" s="1788">
        <v>31</v>
      </c>
    </row>
    <row r="32" spans="1:27" ht="13.35" customHeight="1">
      <c r="A32" s="409" t="s">
        <v>3508</v>
      </c>
      <c r="B32" s="2946">
        <f>-IF((B25+B26)&lt;'Part III-Sources of Funds'!$I$45,('Part VII-Pro Forma'!B25+'Part VII-Pro Forma'!B26),0)</f>
        <v>-64835.375364369451</v>
      </c>
      <c r="C32" s="2946">
        <f>-IF(-SUM($B$32:B32)&lt;'Part III-Sources of Funds'!$I$45,('Part VII-Pro Forma'!C25+'Part VII-Pro Forma'!C26),0)</f>
        <v>-65402.772787409456</v>
      </c>
      <c r="D32" s="2946">
        <f>-IF(-SUM($B$32:C32)&lt;'Part III-Sources of Funds'!$I$45,('Part VII-Pro Forma'!D25+'Part VII-Pro Forma'!D26),0)</f>
        <v>-65847.237758910254</v>
      </c>
      <c r="E32" s="2946">
        <f>-IF(-SUM($B$32:D32)&lt;'Part III-Sources of Funds'!$I$45,('Part VII-Pro Forma'!E25+'Part VII-Pro Forma'!E26),0)</f>
        <v>-66161.700817841018</v>
      </c>
      <c r="F32" s="2946">
        <f>-IF(-SUM($B$32:E32)&lt;'Part III-Sources of Funds'!$I$45,('Part VII-Pro Forma'!F25+'Part VII-Pro Forma'!F26),0)</f>
        <v>-66340.850189590536</v>
      </c>
      <c r="G32" s="2946">
        <f>-('Part III-Sources of Funds'!$I$45+SUM('Part VII-Pro Forma'!$B$32:F32))</f>
        <v>-28829.193771388265</v>
      </c>
      <c r="H32" s="2946">
        <f>-('Part III-Sources of Funds'!$I$45+SUM('Part VII-Pro Forma'!$B$32:G32))</f>
        <v>0</v>
      </c>
      <c r="I32" s="2946">
        <f>-IF(-SUM($B$32:H32)&lt;'Part III-Sources of Funds'!$I$45,('Part VII-Pro Forma'!I25+'Part VII-Pro Forma'!I26),0)</f>
        <v>0</v>
      </c>
      <c r="J32" s="2946">
        <f>IF('Part III-Sources of Funds'!$P$45="", 0,-'Part III-Sources of Funds'!$P$45)</f>
        <v>0</v>
      </c>
      <c r="K32" s="2946">
        <f>IF('Part III-Sources of Funds'!$P$45="", 0,-'Part III-Sources of Funds'!$P$45)</f>
        <v>0</v>
      </c>
      <c r="N32" s="3830"/>
      <c r="O32" s="3832"/>
      <c r="Q32" s="847">
        <v>12</v>
      </c>
      <c r="R32" s="945">
        <f>-SUM(B32:K32) - SUM(B64:C64)</f>
        <v>357417.13068950898</v>
      </c>
      <c r="S32" s="945">
        <f>SUM(B33:K33) + SUM(B65:C65)+R32</f>
        <v>784988.24455464468</v>
      </c>
      <c r="Z32" s="2805" t="s">
        <v>6771</v>
      </c>
      <c r="AA32" s="1788">
        <v>32</v>
      </c>
    </row>
    <row r="33" spans="1:27" ht="13.35" customHeight="1">
      <c r="A33" s="21" t="s">
        <v>1122</v>
      </c>
      <c r="B33" s="22">
        <f t="shared" ref="B33:K33" si="9">SUM(B25:B32)</f>
        <v>0</v>
      </c>
      <c r="C33" s="22">
        <f t="shared" si="9"/>
        <v>0</v>
      </c>
      <c r="D33" s="22">
        <f t="shared" si="9"/>
        <v>0</v>
      </c>
      <c r="E33" s="22">
        <f t="shared" si="9"/>
        <v>0</v>
      </c>
      <c r="F33" s="22">
        <f t="shared" si="9"/>
        <v>0</v>
      </c>
      <c r="G33" s="22">
        <f t="shared" si="9"/>
        <v>37546.929540575948</v>
      </c>
      <c r="H33" s="22">
        <f t="shared" si="9"/>
        <v>66260.698082870251</v>
      </c>
      <c r="I33" s="22">
        <f t="shared" si="9"/>
        <v>65987.483820861438</v>
      </c>
      <c r="J33" s="22">
        <f t="shared" si="9"/>
        <v>65548.111929430394</v>
      </c>
      <c r="K33" s="23">
        <f t="shared" si="9"/>
        <v>64934.926255662547</v>
      </c>
      <c r="N33" s="3830"/>
      <c r="O33" s="3832"/>
      <c r="Q33" s="847">
        <v>13</v>
      </c>
      <c r="R33" s="945">
        <f>-SUM(B32:K32) - SUM(B64:D64)</f>
        <v>357417.13068950898</v>
      </c>
      <c r="S33" s="945">
        <f>SUM(B33:K33) + SUM(B65:D65)+R33</f>
        <v>846953.64484246355</v>
      </c>
      <c r="Z33" s="2805" t="s">
        <v>6771</v>
      </c>
      <c r="AA33" s="1788">
        <v>33</v>
      </c>
    </row>
    <row r="34" spans="1:27" ht="13.35" customHeight="1">
      <c r="A34" s="21" t="str">
        <f>IF('Part III-Sources of Funds'!$E$40 = "Neither", "", "DCR Mortgage A")</f>
        <v>DCR Mortgage A</v>
      </c>
      <c r="B34" s="24">
        <f t="shared" ref="B34:K34" si="10">IF(B26=0,"",-B25/B26)</f>
        <v>1.3458486234745308</v>
      </c>
      <c r="C34" s="24">
        <f t="shared" si="10"/>
        <v>1.3488752677504152</v>
      </c>
      <c r="D34" s="24">
        <f t="shared" si="10"/>
        <v>1.3512461586060989</v>
      </c>
      <c r="E34" s="24">
        <f t="shared" si="10"/>
        <v>1.3529235857121129</v>
      </c>
      <c r="F34" s="24">
        <f t="shared" si="10"/>
        <v>1.3538792146919361</v>
      </c>
      <c r="G34" s="24">
        <f t="shared" si="10"/>
        <v>1.3540673706291853</v>
      </c>
      <c r="H34" s="24">
        <f t="shared" si="10"/>
        <v>1.3534516626708055</v>
      </c>
      <c r="I34" s="24">
        <f t="shared" si="10"/>
        <v>1.351994267292151</v>
      </c>
      <c r="J34" s="24">
        <f t="shared" si="10"/>
        <v>1.349650544239869</v>
      </c>
      <c r="K34" s="25">
        <f t="shared" si="10"/>
        <v>1.3463796536185824</v>
      </c>
      <c r="N34" s="3830"/>
      <c r="O34" s="3832"/>
      <c r="Q34" s="847">
        <v>14</v>
      </c>
      <c r="R34" s="945">
        <f>-SUM(B32:K32) - SUM(B64:E64)</f>
        <v>357417.13068950898</v>
      </c>
      <c r="S34" s="945">
        <f>SUM(B33:K33) + SUM(B65:E65)+R34</f>
        <v>907522.93628309132</v>
      </c>
      <c r="Z34" s="2805" t="s">
        <v>6771</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357417.13068950898</v>
      </c>
      <c r="S35" s="945">
        <f>SUM(B33:K33) + SUM(B65:F65)+R35</f>
        <v>966475.35089652275</v>
      </c>
      <c r="Z35" s="2805" t="s">
        <v>6771</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357417.13068950898</v>
      </c>
      <c r="S36" s="945">
        <f>SUM(B33:K33) + SUM(B65:G65)+R36</f>
        <v>1023581.5183690613</v>
      </c>
      <c r="Z36" s="2805" t="s">
        <v>6771</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357417.13068950898</v>
      </c>
      <c r="S37" s="945">
        <f>SUM(B33:K33) + SUM(B65:H65)+R37</f>
        <v>1078602.1015974218</v>
      </c>
      <c r="Z37" s="2805" t="s">
        <v>6771</v>
      </c>
      <c r="AA37" s="1788">
        <v>37</v>
      </c>
    </row>
    <row r="38" spans="1:27" ht="13.35" customHeight="1">
      <c r="A38" s="409" t="s">
        <v>3343</v>
      </c>
      <c r="B38" s="24">
        <f t="shared" ref="B38:K38" si="14">IF(AND(B26=0,B27=0,B28=0,B29=0),"",-B25/(B26+B27+B28+B29))</f>
        <v>1.3458486234745308</v>
      </c>
      <c r="C38" s="24">
        <f t="shared" si="14"/>
        <v>1.3488752677504152</v>
      </c>
      <c r="D38" s="24">
        <f t="shared" si="14"/>
        <v>1.3512461586060989</v>
      </c>
      <c r="E38" s="24">
        <f t="shared" si="14"/>
        <v>1.3529235857121129</v>
      </c>
      <c r="F38" s="24">
        <f t="shared" si="14"/>
        <v>1.3538792146919361</v>
      </c>
      <c r="G38" s="24">
        <f t="shared" si="14"/>
        <v>1.3540673706291853</v>
      </c>
      <c r="H38" s="24">
        <f t="shared" si="14"/>
        <v>1.3534516626708055</v>
      </c>
      <c r="I38" s="24">
        <f t="shared" si="14"/>
        <v>1.351994267292151</v>
      </c>
      <c r="J38" s="24">
        <f t="shared" si="14"/>
        <v>1.349650544239869</v>
      </c>
      <c r="K38" s="25">
        <f t="shared" si="14"/>
        <v>1.3463796536185824</v>
      </c>
      <c r="N38" s="3830"/>
      <c r="O38" s="3832"/>
      <c r="Q38" s="62">
        <v>18</v>
      </c>
      <c r="R38" s="945">
        <f>-SUM(B32:K32) - SUM(B64:I64)</f>
        <v>357417.13068950898</v>
      </c>
      <c r="S38" s="945">
        <f>SUM(B33:K33) + SUM(B65:I65)+R38</f>
        <v>1131285.4197714394</v>
      </c>
      <c r="Z38" s="2805" t="s">
        <v>6771</v>
      </c>
      <c r="AA38" s="1788">
        <v>38</v>
      </c>
    </row>
    <row r="39" spans="1:27" ht="13.35" customHeight="1">
      <c r="A39" s="21" t="s">
        <v>740</v>
      </c>
      <c r="B39" s="263">
        <f t="shared" ref="B39:K39" si="15">IF(OR(B22="Choose mgt fee",B22="Choose One!"),"",(B15+B16+B17+B18+B19) / -(B21+B22+B23))</f>
        <v>1.5040321537130745</v>
      </c>
      <c r="C39" s="263">
        <f t="shared" si="15"/>
        <v>1.490953946901</v>
      </c>
      <c r="D39" s="263">
        <f t="shared" si="15"/>
        <v>1.4779765318171376</v>
      </c>
      <c r="E39" s="263">
        <f t="shared" si="15"/>
        <v>1.4650977849941282</v>
      </c>
      <c r="F39" s="263">
        <f t="shared" si="15"/>
        <v>1.452321009657773</v>
      </c>
      <c r="G39" s="263">
        <f t="shared" si="15"/>
        <v>1.4396414960584054</v>
      </c>
      <c r="H39" s="263">
        <f t="shared" si="15"/>
        <v>1.4270599489141813</v>
      </c>
      <c r="I39" s="263">
        <f t="shared" si="15"/>
        <v>1.4145769223627007</v>
      </c>
      <c r="J39" s="263">
        <f t="shared" si="15"/>
        <v>1.4021906027850726</v>
      </c>
      <c r="K39" s="264">
        <f t="shared" si="15"/>
        <v>1.3899015231405973</v>
      </c>
      <c r="N39" s="3830"/>
      <c r="O39" s="3832"/>
      <c r="Q39" s="847">
        <v>19</v>
      </c>
      <c r="R39" s="945">
        <f>-SUM(B32:K32) - SUM(B64:J64)</f>
        <v>357417.13068950898</v>
      </c>
      <c r="S39" s="945">
        <f>SUM(B33:K33) + SUM(B65:J65)+R39</f>
        <v>1181369.058590987</v>
      </c>
      <c r="Z39" s="2805" t="s">
        <v>6771</v>
      </c>
      <c r="AA39" s="1788">
        <v>39</v>
      </c>
    </row>
    <row r="40" spans="1:27" ht="13.35" customHeight="1">
      <c r="A40" s="409" t="s">
        <v>2493</v>
      </c>
      <c r="B40" s="2947">
        <f>IF('Part III-Sources of Funds'!$I$40="","",-FV('Part III-Sources of Funds'!$K$40/12,12,B26/12,'Part III-Sources of Funds'!$I$40))</f>
        <v>2969300.7911627418</v>
      </c>
      <c r="C40" s="2947">
        <f>IF('Part III-Sources of Funds'!$I$40="","",-FV('Part III-Sources of Funds'!$K$40/12,12,C26/12,B40))</f>
        <v>2936950.5209531756</v>
      </c>
      <c r="D40" s="2947">
        <f>IF('Part III-Sources of Funds'!$I$40="","",-FV('Part III-Sources of Funds'!$K$40/12,12,D26/12,C40))</f>
        <v>2902860.3921755957</v>
      </c>
      <c r="E40" s="2947">
        <f>IF('Part III-Sources of Funds'!$I$40="","",-FV('Part III-Sources of Funds'!$K$40/12,12,E26/12,D40))</f>
        <v>2866936.8319535754</v>
      </c>
      <c r="F40" s="2947">
        <f>IF('Part III-Sources of Funds'!$I$40="","",-FV('Part III-Sources of Funds'!$K$40/12,12,F26/12,E40))</f>
        <v>2829081.234884847</v>
      </c>
      <c r="G40" s="2947">
        <f>IF('Part III-Sources of Funds'!$I$40="","",-FV('Part III-Sources of Funds'!$K$40/12,12,G26/12,F40))</f>
        <v>2789189.692382568</v>
      </c>
      <c r="H40" s="2947">
        <f>IF('Part III-Sources of Funds'!$I$40="","",-FV('Part III-Sources of Funds'!$K$40/12,12,H26/12,G40))</f>
        <v>2747152.7074600477</v>
      </c>
      <c r="I40" s="2947">
        <f>IF('Part III-Sources of Funds'!$I$40="","",-FV('Part III-Sources of Funds'!$K$40/12,12,I26/12,H40))</f>
        <v>2702854.8941760603</v>
      </c>
      <c r="J40" s="2947">
        <f>IF('Part III-Sources of Funds'!$I$40="","",-FV('Part III-Sources of Funds'!$K$40/12,12,J26/12,I40))</f>
        <v>2656174.6609157594</v>
      </c>
      <c r="K40" s="2947">
        <f>IF('Part III-Sources of Funds'!$I$40="","",-FV('Part III-Sources of Funds'!$K$40/12,12,K26/12,J40))</f>
        <v>2606983.8766378411</v>
      </c>
      <c r="N40" s="3830"/>
      <c r="O40" s="3832"/>
      <c r="Q40" s="847">
        <v>20</v>
      </c>
      <c r="R40" s="945">
        <f>-SUM(B32:K32) - SUM(B64:K64)</f>
        <v>357417.13068950898</v>
      </c>
      <c r="S40" s="945">
        <f>SUM(B33:K33) + SUM(B65:K65)+R40</f>
        <v>1228579.4671999642</v>
      </c>
      <c r="Z40" s="2805" t="s">
        <v>6771</v>
      </c>
      <c r="AA40" s="1788">
        <v>40</v>
      </c>
    </row>
    <row r="41" spans="1:27" ht="13.35" customHeight="1">
      <c r="A41" s="409" t="s">
        <v>2494</v>
      </c>
      <c r="B41" s="2943" t="str">
        <f>IF('Part III-Sources of Funds'!$I$41="","",-FV('Part III-Sources of Funds'!$K$41/12,12,B27/12,'Part III-Sources of Funds'!$I$41))</f>
        <v/>
      </c>
      <c r="C41" s="2943" t="str">
        <f>IF('Part III-Sources of Funds'!$I$41="","",-FV('Part III-Sources of Funds'!$K$41/12,12,C27/12,B41))</f>
        <v/>
      </c>
      <c r="D41" s="2943" t="str">
        <f>IF('Part III-Sources of Funds'!$I$41="","",-FV('Part III-Sources of Funds'!$K$41/12,12,D27/12,C41))</f>
        <v/>
      </c>
      <c r="E41" s="2943" t="str">
        <f>IF('Part III-Sources of Funds'!$I$41="","",-FV('Part III-Sources of Funds'!$K$41/12,12,E27/12,D41))</f>
        <v/>
      </c>
      <c r="F41" s="2943" t="str">
        <f>IF('Part III-Sources of Funds'!$I$41="","",-FV('Part III-Sources of Funds'!$K$41/12,12,F27/12,E41))</f>
        <v/>
      </c>
      <c r="G41" s="2943" t="str">
        <f>IF('Part III-Sources of Funds'!$I$41="","",-FV('Part III-Sources of Funds'!$K$41/12,12,G27/12,F41))</f>
        <v/>
      </c>
      <c r="H41" s="2943" t="str">
        <f>IF('Part III-Sources of Funds'!$I$41="","",-FV('Part III-Sources of Funds'!$K$41/12,12,H27/12,G41))</f>
        <v/>
      </c>
      <c r="I41" s="2943" t="str">
        <f>IF('Part III-Sources of Funds'!$I$41="","",-FV('Part III-Sources of Funds'!$K$41/12,12,I27/12,H41))</f>
        <v/>
      </c>
      <c r="J41" s="2943" t="str">
        <f>IF('Part III-Sources of Funds'!$I$41="","",-FV('Part III-Sources of Funds'!$K$41/12,12,J27/12,I41))</f>
        <v/>
      </c>
      <c r="K41" s="2943" t="str">
        <f>IF('Part III-Sources of Funds'!$I$41="","",-FV('Part III-Sources of Funds'!$K$41/12,12,K27/12,J41))</f>
        <v/>
      </c>
      <c r="N41" s="3830"/>
      <c r="O41" s="3832"/>
      <c r="Z41" s="2805" t="s">
        <v>6771</v>
      </c>
      <c r="AA41" s="1788">
        <v>41</v>
      </c>
    </row>
    <row r="42" spans="1:27" ht="13.35" customHeight="1">
      <c r="A42" s="409" t="s">
        <v>2495</v>
      </c>
      <c r="B42" s="2943" t="str">
        <f>IF('Part III-Sources of Funds'!$I$42="","",-FV('Part III-Sources of Funds'!$K$42/12,12,B28/12,'Part III-Sources of Funds'!$I$42))</f>
        <v/>
      </c>
      <c r="C42" s="2943" t="str">
        <f>IF('Part III-Sources of Funds'!$I$42="","",-FV('Part III-Sources of Funds'!$K$42/12,12,C28/12,B42))</f>
        <v/>
      </c>
      <c r="D42" s="2943" t="str">
        <f>IF('Part III-Sources of Funds'!$I$42="","",-FV('Part III-Sources of Funds'!$K$42/12,12,D28/12,C42))</f>
        <v/>
      </c>
      <c r="E42" s="2943" t="str">
        <f>IF('Part III-Sources of Funds'!$I$42="","",-FV('Part III-Sources of Funds'!$K$42/12,12,E28/12,D42))</f>
        <v/>
      </c>
      <c r="F42" s="2943" t="str">
        <f>IF('Part III-Sources of Funds'!$I$42="","",-FV('Part III-Sources of Funds'!$K$42/12,12,F28/12,E42))</f>
        <v/>
      </c>
      <c r="G42" s="2943" t="str">
        <f>IF('Part III-Sources of Funds'!$I$42="","",-FV('Part III-Sources of Funds'!$K$42/12,12,G28/12,F42))</f>
        <v/>
      </c>
      <c r="H42" s="2943" t="str">
        <f>IF('Part III-Sources of Funds'!$I$42="","",-FV('Part III-Sources of Funds'!$K$42/12,12,H28/12,G42))</f>
        <v/>
      </c>
      <c r="I42" s="2943" t="str">
        <f>IF('Part III-Sources of Funds'!$I$42="","",-FV('Part III-Sources of Funds'!$K$42/12,12,I28/12,H42))</f>
        <v/>
      </c>
      <c r="J42" s="2943" t="str">
        <f>IF('Part III-Sources of Funds'!$I$42="","",-FV('Part III-Sources of Funds'!$K$42/12,12,J28/12,I42))</f>
        <v/>
      </c>
      <c r="K42" s="2943" t="str">
        <f>IF('Part III-Sources of Funds'!$I$42="","",-FV('Part III-Sources of Funds'!$K$42/12,12,K28/12,J42))</f>
        <v/>
      </c>
      <c r="N42" s="3830"/>
      <c r="O42" s="3832"/>
      <c r="Z42" s="2805" t="s">
        <v>6771</v>
      </c>
      <c r="AA42" s="1788">
        <v>42</v>
      </c>
    </row>
    <row r="43" spans="1:27" ht="13.35" customHeight="1">
      <c r="A43" s="21" t="s">
        <v>752</v>
      </c>
      <c r="B43" s="2943" t="str">
        <f>IF('Part III-Sources of Funds'!$I$43="","",-FV('Part III-Sources of Funds'!$K$43/12,12,B29/12,'Part III-Sources of Funds'!$I$43))</f>
        <v/>
      </c>
      <c r="C43" s="2943" t="str">
        <f>IF('Part III-Sources of Funds'!$I$43="","",-FV('Part III-Sources of Funds'!$K$43/12,12,C29/12,B43))</f>
        <v/>
      </c>
      <c r="D43" s="2943" t="str">
        <f>IF('Part III-Sources of Funds'!$I$43="","",-FV('Part III-Sources of Funds'!$K$43/12,12,D29/12,C43))</f>
        <v/>
      </c>
      <c r="E43" s="2943" t="str">
        <f>IF('Part III-Sources of Funds'!$I$43="","",-FV('Part III-Sources of Funds'!$K$43/12,12,E29/12,D43))</f>
        <v/>
      </c>
      <c r="F43" s="2943" t="str">
        <f>IF('Part III-Sources of Funds'!$I$43="","",-FV('Part III-Sources of Funds'!$K$43/12,12,F29/12,E43))</f>
        <v/>
      </c>
      <c r="G43" s="2943" t="str">
        <f>IF('Part III-Sources of Funds'!$I$43="","",-FV('Part III-Sources of Funds'!$K$43/12,12,G29/12,F43))</f>
        <v/>
      </c>
      <c r="H43" s="2943" t="str">
        <f>IF('Part III-Sources of Funds'!$I$43="","",-FV('Part III-Sources of Funds'!$K$43/12,12,H29/12,G43))</f>
        <v/>
      </c>
      <c r="I43" s="2943" t="str">
        <f>IF('Part III-Sources of Funds'!$I$43="","",-FV('Part III-Sources of Funds'!$K$43/12,12,I29/12,H43))</f>
        <v/>
      </c>
      <c r="J43" s="2943" t="str">
        <f>IF('Part III-Sources of Funds'!$I$43="","",-FV('Part III-Sources of Funds'!$K$43/12,12,J29/12,I43))</f>
        <v/>
      </c>
      <c r="K43" s="2943" t="str">
        <f>IF('Part III-Sources of Funds'!$I$43="","",-FV('Part III-Sources of Funds'!$K$43/12,12,K29/12,J43))</f>
        <v/>
      </c>
      <c r="N43" s="3830"/>
      <c r="O43" s="3832"/>
      <c r="Z43" s="2805" t="s">
        <v>6771</v>
      </c>
      <c r="AA43" s="1787">
        <v>43</v>
      </c>
    </row>
    <row r="44" spans="1:27" ht="13.35" customHeight="1">
      <c r="A44" s="409" t="s">
        <v>3509</v>
      </c>
      <c r="B44" s="2946">
        <f>IF('Part III-Sources of Funds'!$I$45="","",-FV('Part III-Sources of Funds'!$K$45/12,12,B32/12,'Part III-Sources of Funds'!$I$45))</f>
        <v>292581.7553251395</v>
      </c>
      <c r="C44" s="2946">
        <f>IF('Part III-Sources of Funds'!$I$45="","",IF(-FV('Part III-Sources of Funds'!$K$45/12,12,C32/12,B44)&gt;0,-FV('Part III-Sources of Funds'!$K$45/12,12,C32/12,B44),0))</f>
        <v>227178.98253773004</v>
      </c>
      <c r="D44" s="2946">
        <f>IF('Part III-Sources of Funds'!$I$45="","",IF(-FV('Part III-Sources of Funds'!$K$45/12,12,D32/12,C44)&gt;0,-FV('Part III-Sources of Funds'!$K$45/12,12,D32/12,C44),0))</f>
        <v>161331.74477881979</v>
      </c>
      <c r="E44" s="2946">
        <f>IF('Part III-Sources of Funds'!$I$45="","",IF(-FV('Part III-Sources of Funds'!$K$45/12,12,E32/12,D44)&gt;0,-FV('Part III-Sources of Funds'!$K$45/12,12,E32/12,D44),0))</f>
        <v>95170.043960978772</v>
      </c>
      <c r="F44" s="2946">
        <f>IF('Part III-Sources of Funds'!$I$45="","",IF(-FV('Part III-Sources of Funds'!$K$45/12,12,F32/12,E44)&gt;0,-FV('Part III-Sources of Funds'!$K$45/12,12,F32/12,E44),0))</f>
        <v>28829.193771388236</v>
      </c>
      <c r="G44" s="2946">
        <f>IF('Part III-Sources of Funds'!$I$45="","",IF(-FV('Part III-Sources of Funds'!$K$45/12,12,G32/12,F44)&gt;0,-FV('Part III-Sources of Funds'!$K$45/12,12,G32/12,F44),0))</f>
        <v>0</v>
      </c>
      <c r="H44" s="2946">
        <f>IF('Part III-Sources of Funds'!$I$45="","",IF(-FV('Part III-Sources of Funds'!$K$45/12,12,H32/12,G44)&gt;0,-FV('Part III-Sources of Funds'!$K$45/12,12,H32/12,G44),0))</f>
        <v>0</v>
      </c>
      <c r="I44" s="2946">
        <f>IF('Part III-Sources of Funds'!$I$45="","",IF(-FV('Part III-Sources of Funds'!$K$45/12,12,I32/12,H44)&gt;0,-FV('Part III-Sources of Funds'!$K$45/12,12,I32/12,H44),0))</f>
        <v>0</v>
      </c>
      <c r="J44" s="2946">
        <f>IF('Part III-Sources of Funds'!$I$45="","",IF(-FV('Part III-Sources of Funds'!$K$45/12,12,J32/12,I44)&gt;0,-FV('Part III-Sources of Funds'!$K$45/12,12,J32/12,I44),0))</f>
        <v>0</v>
      </c>
      <c r="K44" s="2946">
        <f>IF('Part III-Sources of Funds'!$I$45="","",IF(-FV('Part III-Sources of Funds'!$K$45/12,12,K32/12,J44)&gt;0,-FV('Part III-Sources of Funds'!$K$45/12,12,K32/12,J44),0))</f>
        <v>0</v>
      </c>
      <c r="N44" s="3842"/>
      <c r="O44" s="3844"/>
      <c r="Z44" s="2805"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5" t="s">
        <v>2497</v>
      </c>
      <c r="O46" s="3495"/>
      <c r="AA46" s="1788">
        <v>46</v>
      </c>
    </row>
    <row r="47" spans="1:27" ht="13.35" customHeight="1">
      <c r="A47" s="18" t="s">
        <v>2294</v>
      </c>
      <c r="B47" s="19">
        <f t="shared" ref="B47:K47" si="17">$B$15*(1+$B$6)^(B46-1)</f>
        <v>967474.81541777332</v>
      </c>
      <c r="C47" s="19">
        <f t="shared" si="17"/>
        <v>986824.31172612868</v>
      </c>
      <c r="D47" s="19">
        <f t="shared" si="17"/>
        <v>1006560.7979606513</v>
      </c>
      <c r="E47" s="19">
        <f t="shared" si="17"/>
        <v>1026692.0139198643</v>
      </c>
      <c r="F47" s="19">
        <f t="shared" si="17"/>
        <v>1047225.8541982617</v>
      </c>
      <c r="G47" s="19">
        <f t="shared" si="17"/>
        <v>1068170.3712822266</v>
      </c>
      <c r="H47" s="19">
        <f t="shared" si="17"/>
        <v>1089533.7787078714</v>
      </c>
      <c r="I47" s="19">
        <f t="shared" si="17"/>
        <v>1111324.4542820288</v>
      </c>
      <c r="J47" s="19">
        <f t="shared" si="17"/>
        <v>1133550.9433676694</v>
      </c>
      <c r="K47" s="20">
        <f t="shared" si="17"/>
        <v>1156221.9622350228</v>
      </c>
      <c r="N47" s="3839"/>
      <c r="O47" s="3841"/>
      <c r="Z47" s="2805" t="s">
        <v>6772</v>
      </c>
      <c r="AA47" s="1788">
        <v>47</v>
      </c>
    </row>
    <row r="48" spans="1:27" ht="13.35" customHeight="1">
      <c r="A48" s="21" t="s">
        <v>977</v>
      </c>
      <c r="B48" s="22">
        <f t="shared" ref="B48:K48" si="18">$B$16*(1+$B$6)^(B46-1)</f>
        <v>19349.496308355468</v>
      </c>
      <c r="C48" s="22">
        <f t="shared" si="18"/>
        <v>19736.486234522574</v>
      </c>
      <c r="D48" s="22">
        <f t="shared" si="18"/>
        <v>20131.21595921303</v>
      </c>
      <c r="E48" s="22">
        <f t="shared" si="18"/>
        <v>20533.840278397289</v>
      </c>
      <c r="F48" s="22">
        <f t="shared" si="18"/>
        <v>20944.517083965235</v>
      </c>
      <c r="G48" s="22">
        <f t="shared" si="18"/>
        <v>21363.407425644535</v>
      </c>
      <c r="H48" s="22">
        <f t="shared" si="18"/>
        <v>21790.675574157431</v>
      </c>
      <c r="I48" s="22">
        <f t="shared" si="18"/>
        <v>22226.48908564058</v>
      </c>
      <c r="J48" s="22">
        <f t="shared" si="18"/>
        <v>22671.018867353388</v>
      </c>
      <c r="K48" s="23">
        <f t="shared" si="18"/>
        <v>23124.439244700454</v>
      </c>
      <c r="N48" s="3830"/>
      <c r="O48" s="3832"/>
      <c r="Z48" s="2805" t="s">
        <v>6772</v>
      </c>
      <c r="AA48" s="1787">
        <v>48</v>
      </c>
    </row>
    <row r="49" spans="1:27" ht="13.35" customHeight="1">
      <c r="A49" s="21" t="s">
        <v>2295</v>
      </c>
      <c r="B49" s="22">
        <f t="shared" ref="B49:K49" si="19">-(B47+B48)*$B$9</f>
        <v>-69077.701820829025</v>
      </c>
      <c r="C49" s="22">
        <f t="shared" si="19"/>
        <v>-70459.255857245589</v>
      </c>
      <c r="D49" s="22">
        <f t="shared" si="19"/>
        <v>-71868.440974390513</v>
      </c>
      <c r="E49" s="22">
        <f t="shared" si="19"/>
        <v>-73305.809793878318</v>
      </c>
      <c r="F49" s="22">
        <f t="shared" si="19"/>
        <v>-74771.925989755895</v>
      </c>
      <c r="G49" s="22">
        <f t="shared" si="19"/>
        <v>-76267.364509550986</v>
      </c>
      <c r="H49" s="22">
        <f t="shared" si="19"/>
        <v>-77792.711799742028</v>
      </c>
      <c r="I49" s="22">
        <f t="shared" si="19"/>
        <v>-79348.566035736862</v>
      </c>
      <c r="J49" s="22">
        <f t="shared" si="19"/>
        <v>-80935.537356451605</v>
      </c>
      <c r="K49" s="23">
        <f t="shared" si="19"/>
        <v>-82554.248103580627</v>
      </c>
      <c r="N49" s="3830"/>
      <c r="O49" s="3832"/>
      <c r="Z49" s="2805"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5"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5" t="s">
        <v>6772</v>
      </c>
      <c r="AA51" s="1787">
        <v>51</v>
      </c>
    </row>
    <row r="52" spans="1:27" ht="13.35" customHeight="1">
      <c r="A52" s="409" t="s">
        <v>4013</v>
      </c>
      <c r="B52" s="22">
        <f t="shared" ref="B52:K52" si="20">SUM(B47:B51)</f>
        <v>917746.60990529973</v>
      </c>
      <c r="C52" s="22">
        <f t="shared" si="20"/>
        <v>936101.54210340558</v>
      </c>
      <c r="D52" s="22">
        <f t="shared" si="20"/>
        <v>954823.57294547383</v>
      </c>
      <c r="E52" s="22">
        <f t="shared" si="20"/>
        <v>973920.04440438328</v>
      </c>
      <c r="F52" s="22">
        <f t="shared" si="20"/>
        <v>993398.44529247098</v>
      </c>
      <c r="G52" s="22">
        <f t="shared" si="20"/>
        <v>1013266.4141983202</v>
      </c>
      <c r="H52" s="22">
        <f t="shared" si="20"/>
        <v>1033531.7424822868</v>
      </c>
      <c r="I52" s="22">
        <f t="shared" si="20"/>
        <v>1054202.3773319325</v>
      </c>
      <c r="J52" s="22">
        <f t="shared" si="20"/>
        <v>1075286.4248785712</v>
      </c>
      <c r="K52" s="23">
        <f t="shared" si="20"/>
        <v>1096792.1533761425</v>
      </c>
      <c r="N52" s="3830"/>
      <c r="O52" s="3832"/>
      <c r="Z52" s="2805" t="s">
        <v>6772</v>
      </c>
      <c r="AA52" s="1788">
        <v>52</v>
      </c>
    </row>
    <row r="53" spans="1:27" ht="13.35" customHeight="1">
      <c r="A53" s="21" t="s">
        <v>585</v>
      </c>
      <c r="B53" s="22">
        <f t="shared" ref="B53:K53" si="21">$B$21*(1+$B$7)^(B46-1)</f>
        <v>-569979.12697467022</v>
      </c>
      <c r="C53" s="22">
        <f t="shared" si="21"/>
        <v>-587078.50078391039</v>
      </c>
      <c r="D53" s="22">
        <f t="shared" si="21"/>
        <v>-604690.85580742755</v>
      </c>
      <c r="E53" s="22">
        <f t="shared" si="21"/>
        <v>-622831.58148165036</v>
      </c>
      <c r="F53" s="22">
        <f t="shared" si="21"/>
        <v>-641516.5289261</v>
      </c>
      <c r="G53" s="22">
        <f t="shared" si="21"/>
        <v>-660762.02479388297</v>
      </c>
      <c r="H53" s="22">
        <f t="shared" si="21"/>
        <v>-680584.88553769933</v>
      </c>
      <c r="I53" s="22">
        <f t="shared" si="21"/>
        <v>-701002.43210383039</v>
      </c>
      <c r="J53" s="22">
        <f t="shared" si="21"/>
        <v>-722032.50506694533</v>
      </c>
      <c r="K53" s="23">
        <f t="shared" si="21"/>
        <v>-743693.48021895357</v>
      </c>
      <c r="N53" s="3830"/>
      <c r="O53" s="3832"/>
      <c r="Z53" s="2805"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-64242</v>
      </c>
      <c r="C54" s="22">
        <f>IF(AND('Part VII-Pro Forma'!$G$9="Yes",'Part VII-Pro Forma'!$G$10="Yes"),"Choose One!",IF('Part VII-Pro Forma'!$G$9="Yes",ROUND((-$K$9*(1+'Part VII-Pro Forma'!$B$7)^('Part VII-Pro Forma'!C46-1)),),IF('Part VII-Pro Forma'!$G$10="Yes",ROUND((-(SUM(C47:C50)*'Part VII-Pro Forma'!$K$10)),),"Choose mgt fee")))</f>
        <v>-65527</v>
      </c>
      <c r="D54" s="22">
        <f>IF(AND('Part VII-Pro Forma'!$G$9="Yes",'Part VII-Pro Forma'!$G$10="Yes"),"Choose One!",IF('Part VII-Pro Forma'!$G$9="Yes",ROUND((-$K$9*(1+'Part VII-Pro Forma'!$B$7)^('Part VII-Pro Forma'!D46-1)),),IF('Part VII-Pro Forma'!$G$10="Yes",ROUND((-(SUM(D47:D50)*'Part VII-Pro Forma'!$K$10)),),"Choose mgt fee")))</f>
        <v>-66838</v>
      </c>
      <c r="E54" s="22">
        <f>IF(AND('Part VII-Pro Forma'!$G$9="Yes",'Part VII-Pro Forma'!$G$10="Yes"),"Choose One!",IF('Part VII-Pro Forma'!$G$9="Yes",ROUND((-$K$9*(1+'Part VII-Pro Forma'!$B$7)^('Part VII-Pro Forma'!E46-1)),),IF('Part VII-Pro Forma'!$G$10="Yes",ROUND((-(SUM(E47:E50)*'Part VII-Pro Forma'!$K$10)),),"Choose mgt fee")))</f>
        <v>-68174</v>
      </c>
      <c r="F54" s="22">
        <f>IF(AND('Part VII-Pro Forma'!$G$9="Yes",'Part VII-Pro Forma'!$G$10="Yes"),"Choose One!",IF('Part VII-Pro Forma'!$G$9="Yes",ROUND((-$K$9*(1+'Part VII-Pro Forma'!$B$7)^('Part VII-Pro Forma'!F46-1)),),IF('Part VII-Pro Forma'!$G$10="Yes",ROUND((-(SUM(F47:F50)*'Part VII-Pro Forma'!$K$10)),),"Choose mgt fee")))</f>
        <v>-69538</v>
      </c>
      <c r="G54" s="22">
        <f>IF(AND('Part VII-Pro Forma'!$G$9="Yes",'Part VII-Pro Forma'!$G$10="Yes"),"Choose One!",IF('Part VII-Pro Forma'!$G$9="Yes",ROUND((-$K$9*(1+'Part VII-Pro Forma'!$B$7)^('Part VII-Pro Forma'!G46-1)),),IF('Part VII-Pro Forma'!$G$10="Yes",ROUND((-(SUM(G47:G50)*'Part VII-Pro Forma'!$K$10)),),"Choose mgt fee")))</f>
        <v>-70929</v>
      </c>
      <c r="H54" s="22">
        <f>IF(AND('Part VII-Pro Forma'!$G$9="Yes",'Part VII-Pro Forma'!$G$10="Yes"),"Choose One!",IF('Part VII-Pro Forma'!$G$9="Yes",ROUND((-$K$9*(1+'Part VII-Pro Forma'!$B$7)^('Part VII-Pro Forma'!H46-1)),),IF('Part VII-Pro Forma'!$G$10="Yes",ROUND((-(SUM(H47:H50)*'Part VII-Pro Forma'!$K$10)),),"Choose mgt fee")))</f>
        <v>-72347</v>
      </c>
      <c r="I54" s="22">
        <f>IF(AND('Part VII-Pro Forma'!$G$9="Yes",'Part VII-Pro Forma'!$G$10="Yes"),"Choose One!",IF('Part VII-Pro Forma'!$G$9="Yes",ROUND((-$K$9*(1+'Part VII-Pro Forma'!$B$7)^('Part VII-Pro Forma'!I46-1)),),IF('Part VII-Pro Forma'!$G$10="Yes",ROUND((-(SUM(I47:I50)*'Part VII-Pro Forma'!$K$10)),),"Choose mgt fee")))</f>
        <v>-73794</v>
      </c>
      <c r="J54" s="22">
        <f>IF(AND('Part VII-Pro Forma'!$G$9="Yes",'Part VII-Pro Forma'!$G$10="Yes"),"Choose One!",IF('Part VII-Pro Forma'!$G$9="Yes",ROUND((-$K$9*(1+'Part VII-Pro Forma'!$B$7)^('Part VII-Pro Forma'!J46-1)),),IF('Part VII-Pro Forma'!$G$10="Yes",ROUND((-(SUM(J47:J50)*'Part VII-Pro Forma'!$K$10)),),"Choose mgt fee")))</f>
        <v>-75270</v>
      </c>
      <c r="K54" s="23">
        <f>IF(AND('Part VII-Pro Forma'!$G$9="Yes",'Part VII-Pro Forma'!$G$10="Yes"),"Choose One!",IF('Part VII-Pro Forma'!$G$9="Yes",ROUND((-$K$9*(1+'Part VII-Pro Forma'!$B$7)^('Part VII-Pro Forma'!K46-1)),),IF('Part VII-Pro Forma'!$G$10="Yes",ROUND((-(SUM(K47:K50)*'Part VII-Pro Forma'!$K$10)),),"Choose mgt fee")))</f>
        <v>-76775</v>
      </c>
      <c r="N54" s="3830"/>
      <c r="O54" s="3832"/>
      <c r="Z54" s="2805" t="s">
        <v>6772</v>
      </c>
      <c r="AA54" s="1788">
        <v>54</v>
      </c>
    </row>
    <row r="55" spans="1:27" ht="13.35" customHeight="1">
      <c r="A55" s="21" t="s">
        <v>1156</v>
      </c>
      <c r="B55" s="22">
        <f t="shared" ref="B55:K55" si="22">$B$23*(1+$B$8)^(B46-1)</f>
        <v>-31918.014009422892</v>
      </c>
      <c r="C55" s="22">
        <f t="shared" si="22"/>
        <v>-32875.554429705582</v>
      </c>
      <c r="D55" s="22">
        <f t="shared" si="22"/>
        <v>-33861.82106259674</v>
      </c>
      <c r="E55" s="22">
        <f t="shared" si="22"/>
        <v>-34877.675694474645</v>
      </c>
      <c r="F55" s="22">
        <f t="shared" si="22"/>
        <v>-35924.005965308883</v>
      </c>
      <c r="G55" s="22">
        <f t="shared" si="22"/>
        <v>-37001.726144268156</v>
      </c>
      <c r="H55" s="22">
        <f t="shared" si="22"/>
        <v>-38111.777928596195</v>
      </c>
      <c r="I55" s="22">
        <f t="shared" si="22"/>
        <v>-39255.131266454082</v>
      </c>
      <c r="J55" s="22">
        <f t="shared" si="22"/>
        <v>-40432.785204447704</v>
      </c>
      <c r="K55" s="23">
        <f t="shared" si="22"/>
        <v>-41645.76876058113</v>
      </c>
      <c r="N55" s="3830"/>
      <c r="O55" s="3832"/>
      <c r="Q55" s="847">
        <v>10</v>
      </c>
      <c r="R55" s="945">
        <f>-SUM(B61:K61)</f>
        <v>0</v>
      </c>
      <c r="S55" s="945">
        <f>SUM(B62:K62)+R55</f>
        <v>0</v>
      </c>
      <c r="Z55" s="2805" t="s">
        <v>6772</v>
      </c>
      <c r="AA55" s="1788">
        <v>55</v>
      </c>
    </row>
    <row r="56" spans="1:27" ht="13.35" customHeight="1">
      <c r="A56" s="409" t="s">
        <v>4012</v>
      </c>
      <c r="B56" s="2941">
        <f>IF(B46&lt;=+'Part VI-Revenues &amp; Expenses'!$N$248,-'Part VI-Revenues &amp; Expenses'!$K$248,0)</f>
        <v>0</v>
      </c>
      <c r="C56" s="2941">
        <f>IF(C46&lt;=+'Part VI-Revenues &amp; Expenses'!$N$248,-'Part VI-Revenues &amp; Expenses'!$K$248,0)</f>
        <v>0</v>
      </c>
      <c r="D56" s="2941">
        <f>IF(D46&lt;=+'Part VI-Revenues &amp; Expenses'!$N$248,-'Part VI-Revenues &amp; Expenses'!$K$248,0)</f>
        <v>0</v>
      </c>
      <c r="E56" s="2941">
        <f>IF(E46&lt;=+'Part VI-Revenues &amp; Expenses'!$N$248,-'Part VI-Revenues &amp; Expenses'!$K$248,0)</f>
        <v>0</v>
      </c>
      <c r="F56" s="2941">
        <f>IF(F46&lt;=+'Part VI-Revenues &amp; Expenses'!$N$248,-'Part VI-Revenues &amp; Expenses'!$K$248,0)</f>
        <v>0</v>
      </c>
      <c r="G56" s="2941">
        <f>IF(G46&lt;=+'Part VI-Revenues &amp; Expenses'!$N$248,-'Part VI-Revenues &amp; Expenses'!$K$248,0)</f>
        <v>0</v>
      </c>
      <c r="H56" s="2941">
        <f>IF(H46&lt;=+'Part VI-Revenues &amp; Expenses'!$N$248,-'Part VI-Revenues &amp; Expenses'!$K$248,0)</f>
        <v>0</v>
      </c>
      <c r="I56" s="2941">
        <f>IF(I46&lt;=+'Part VI-Revenues &amp; Expenses'!$N$248,-'Part VI-Revenues &amp; Expenses'!$K$248,0)</f>
        <v>0</v>
      </c>
      <c r="J56" s="2941">
        <f>IF(J46&lt;=+'Part VI-Revenues &amp; Expenses'!$N$248,-'Part VI-Revenues &amp; Expenses'!$K$248,0)</f>
        <v>0</v>
      </c>
      <c r="K56" s="2941">
        <f>IF(K46&lt;=+'Part VI-Revenues &amp; Expenses'!$N$248,-'Part VI-Revenues &amp; Expenses'!$K$248,0)</f>
        <v>0</v>
      </c>
      <c r="N56" s="3830"/>
      <c r="O56" s="3832"/>
      <c r="Z56" s="2805" t="s">
        <v>6772</v>
      </c>
      <c r="AA56" s="1788">
        <v>56</v>
      </c>
    </row>
    <row r="57" spans="1:27" ht="13.35" customHeight="1">
      <c r="A57" s="21" t="s">
        <v>1157</v>
      </c>
      <c r="B57" s="22">
        <f t="shared" ref="B57:K57" si="23">SUM(B52:B56)</f>
        <v>251607.46892120663</v>
      </c>
      <c r="C57" s="22">
        <f t="shared" si="23"/>
        <v>250620.48688978961</v>
      </c>
      <c r="D57" s="22">
        <f t="shared" si="23"/>
        <v>249432.89607544953</v>
      </c>
      <c r="E57" s="22">
        <f t="shared" si="23"/>
        <v>248036.78722825827</v>
      </c>
      <c r="F57" s="22">
        <f t="shared" si="23"/>
        <v>246419.91040106211</v>
      </c>
      <c r="G57" s="22">
        <f t="shared" si="23"/>
        <v>244573.66326016912</v>
      </c>
      <c r="H57" s="22">
        <f t="shared" si="23"/>
        <v>242488.07901599124</v>
      </c>
      <c r="I57" s="22">
        <f t="shared" si="23"/>
        <v>240150.81396164806</v>
      </c>
      <c r="J57" s="22">
        <f t="shared" si="23"/>
        <v>237551.13460717816</v>
      </c>
      <c r="K57" s="1299">
        <f t="shared" si="23"/>
        <v>234677.9043966078</v>
      </c>
      <c r="N57" s="3830"/>
      <c r="O57" s="3832"/>
      <c r="Z57" s="2805" t="s">
        <v>6772</v>
      </c>
      <c r="AA57" s="1788">
        <v>57</v>
      </c>
    </row>
    <row r="58" spans="1:27" ht="13.35" customHeight="1">
      <c r="A58" s="21" t="str">
        <f>$A26</f>
        <v>Mortgage A</v>
      </c>
      <c r="B58" s="2942">
        <f>IF('Part III-Sources of Funds'!$P$40="", 0,-'Part III-Sources of Funds'!$P$40)</f>
        <v>-187467.49578763059</v>
      </c>
      <c r="C58" s="2942">
        <f>IF('Part III-Sources of Funds'!$P$40="", 0,-'Part III-Sources of Funds'!$P$40)</f>
        <v>-187467.49578763059</v>
      </c>
      <c r="D58" s="2942">
        <f>IF('Part III-Sources of Funds'!$P$40="", 0,-'Part III-Sources of Funds'!$P$40)</f>
        <v>-187467.49578763059</v>
      </c>
      <c r="E58" s="2942">
        <f>IF('Part III-Sources of Funds'!$P$40="", 0,-'Part III-Sources of Funds'!$P$40)</f>
        <v>-187467.49578763059</v>
      </c>
      <c r="F58" s="2942">
        <f>IF('Part III-Sources of Funds'!$P$40="", 0,-'Part III-Sources of Funds'!$P$40)</f>
        <v>-187467.49578763059</v>
      </c>
      <c r="G58" s="2942">
        <f>IF('Part III-Sources of Funds'!$P$40="", 0,-'Part III-Sources of Funds'!$P$40)</f>
        <v>-187467.49578763059</v>
      </c>
      <c r="H58" s="2942">
        <f>IF('Part III-Sources of Funds'!$P$40="", 0,-'Part III-Sources of Funds'!$P$40)</f>
        <v>-187467.49578763059</v>
      </c>
      <c r="I58" s="2942">
        <f>IF('Part III-Sources of Funds'!$P$40="", 0,-'Part III-Sources of Funds'!$P$40)</f>
        <v>-187467.49578763059</v>
      </c>
      <c r="J58" s="2942">
        <f>IF('Part III-Sources of Funds'!$P$40="", 0,-'Part III-Sources of Funds'!$P$40)</f>
        <v>-187467.49578763059</v>
      </c>
      <c r="K58" s="2942">
        <f>IF('Part III-Sources of Funds'!$P$40="", 0,-'Part III-Sources of Funds'!$P$40)</f>
        <v>-187467.49578763059</v>
      </c>
      <c r="N58" s="3830"/>
      <c r="O58" s="3832"/>
      <c r="Z58" s="2805" t="s">
        <v>6772</v>
      </c>
      <c r="AA58" s="1788">
        <v>58</v>
      </c>
    </row>
    <row r="59" spans="1:27" ht="13.35" customHeight="1">
      <c r="A59" s="21" t="str">
        <f>$A27</f>
        <v>Mortgage B</v>
      </c>
      <c r="B59" s="2943">
        <f>IF('Part III-Sources of Funds'!$P$41="", 0,-'Part III-Sources of Funds'!$P$41)</f>
        <v>0</v>
      </c>
      <c r="C59" s="2943">
        <f>IF('Part III-Sources of Funds'!$P$41="", 0,-'Part III-Sources of Funds'!$P$41)</f>
        <v>0</v>
      </c>
      <c r="D59" s="2943">
        <f>IF('Part III-Sources of Funds'!$P$41="", 0,-'Part III-Sources of Funds'!$P$41)</f>
        <v>0</v>
      </c>
      <c r="E59" s="2943">
        <f>IF('Part III-Sources of Funds'!$P$41="", 0,-'Part III-Sources of Funds'!$P$41)</f>
        <v>0</v>
      </c>
      <c r="F59" s="2943">
        <f>IF('Part III-Sources of Funds'!$P$41="", 0,-'Part III-Sources of Funds'!$P$41)</f>
        <v>0</v>
      </c>
      <c r="G59" s="2943">
        <f>IF('Part III-Sources of Funds'!$P$41="", 0,-'Part III-Sources of Funds'!$P$41)</f>
        <v>0</v>
      </c>
      <c r="H59" s="2943">
        <f>IF('Part III-Sources of Funds'!$P$41="", 0,-'Part III-Sources of Funds'!$P$41)</f>
        <v>0</v>
      </c>
      <c r="I59" s="2943">
        <f>IF('Part III-Sources of Funds'!$P$41="", 0,-'Part III-Sources of Funds'!$P$41)</f>
        <v>0</v>
      </c>
      <c r="J59" s="2943">
        <f>IF('Part III-Sources of Funds'!$P$41="", 0,-'Part III-Sources of Funds'!$P$41)</f>
        <v>0</v>
      </c>
      <c r="K59" s="2943">
        <f>IF('Part III-Sources of Funds'!$P$41="", 0,-'Part III-Sources of Funds'!$P$41)</f>
        <v>0</v>
      </c>
      <c r="N59" s="3830"/>
      <c r="O59" s="3832"/>
      <c r="Z59" s="2805" t="s">
        <v>6772</v>
      </c>
      <c r="AA59" s="1788">
        <v>59</v>
      </c>
    </row>
    <row r="60" spans="1:27" ht="13.35" customHeight="1">
      <c r="A60" s="21" t="str">
        <f>$A28</f>
        <v>Mortgage C</v>
      </c>
      <c r="B60" s="2943">
        <f>IF('Part III-Sources of Funds'!$P$42="", 0,-'Part III-Sources of Funds'!$P$42)</f>
        <v>0</v>
      </c>
      <c r="C60" s="2943">
        <f>IF('Part III-Sources of Funds'!$P$42="", 0,-'Part III-Sources of Funds'!$P$42)</f>
        <v>0</v>
      </c>
      <c r="D60" s="2943">
        <f>IF('Part III-Sources of Funds'!$P$42="", 0,-'Part III-Sources of Funds'!$P$42)</f>
        <v>0</v>
      </c>
      <c r="E60" s="2943">
        <f>IF('Part III-Sources of Funds'!$P$42="", 0,-'Part III-Sources of Funds'!$P$42)</f>
        <v>0</v>
      </c>
      <c r="F60" s="2943">
        <f>IF('Part III-Sources of Funds'!$P$42="", 0,-'Part III-Sources of Funds'!$P$42)</f>
        <v>0</v>
      </c>
      <c r="G60" s="2943">
        <f>IF('Part III-Sources of Funds'!$P$42="", 0,-'Part III-Sources of Funds'!$P$42)</f>
        <v>0</v>
      </c>
      <c r="H60" s="2943">
        <f>IF('Part III-Sources of Funds'!$P$42="", 0,-'Part III-Sources of Funds'!$P$42)</f>
        <v>0</v>
      </c>
      <c r="I60" s="2943">
        <f>IF('Part III-Sources of Funds'!$P$42="", 0,-'Part III-Sources of Funds'!$P$42)</f>
        <v>0</v>
      </c>
      <c r="J60" s="2943">
        <f>IF('Part III-Sources of Funds'!$P$42="", 0,-'Part III-Sources of Funds'!$P$42)</f>
        <v>0</v>
      </c>
      <c r="K60" s="2943">
        <f>IF('Part III-Sources of Funds'!$P$42="", 0,-'Part III-Sources of Funds'!$P$42)</f>
        <v>0</v>
      </c>
      <c r="N60" s="3830"/>
      <c r="O60" s="3832"/>
      <c r="Z60" s="2805" t="s">
        <v>6772</v>
      </c>
      <c r="AA60" s="1787">
        <v>60</v>
      </c>
    </row>
    <row r="61" spans="1:27" ht="13.35" customHeight="1">
      <c r="A61" s="21" t="str">
        <f>$A29</f>
        <v>D/S Other Source,not DDF</v>
      </c>
      <c r="B61" s="2943">
        <f>IF('Part III-Sources of Funds'!$P$43="", 0,-'Part III-Sources of Funds'!$P$43)</f>
        <v>0</v>
      </c>
      <c r="C61" s="2943">
        <f>IF('Part III-Sources of Funds'!$P$43="", 0,-'Part III-Sources of Funds'!$P$43)</f>
        <v>0</v>
      </c>
      <c r="D61" s="2943">
        <f>IF('Part III-Sources of Funds'!$P$43="", 0,-'Part III-Sources of Funds'!$P$43)</f>
        <v>0</v>
      </c>
      <c r="E61" s="2943">
        <f>IF('Part III-Sources of Funds'!$P$43="", 0,-'Part III-Sources of Funds'!$P$43)</f>
        <v>0</v>
      </c>
      <c r="F61" s="2943">
        <f>IF('Part III-Sources of Funds'!$P$43="", 0,-'Part III-Sources of Funds'!$P$43)</f>
        <v>0</v>
      </c>
      <c r="G61" s="2943">
        <f>IF('Part III-Sources of Funds'!$P$43="", 0,-'Part III-Sources of Funds'!$P$43)</f>
        <v>0</v>
      </c>
      <c r="H61" s="2943">
        <f>IF('Part III-Sources of Funds'!$P$43="", 0,-'Part III-Sources of Funds'!$P$43)</f>
        <v>0</v>
      </c>
      <c r="I61" s="2943">
        <f>IF('Part III-Sources of Funds'!$P$43="", 0,-'Part III-Sources of Funds'!$P$43)</f>
        <v>0</v>
      </c>
      <c r="J61" s="2943">
        <f>IF('Part III-Sources of Funds'!$P$43="", 0,-'Part III-Sources of Funds'!$P$43)</f>
        <v>0</v>
      </c>
      <c r="K61" s="2943">
        <f>IF('Part III-Sources of Funds'!$P$43="", 0,-'Part III-Sources of Funds'!$P$43)</f>
        <v>0</v>
      </c>
      <c r="N61" s="3830"/>
      <c r="O61" s="3832"/>
      <c r="Z61" s="2805" t="s">
        <v>6772</v>
      </c>
      <c r="AA61" s="1788">
        <v>61</v>
      </c>
    </row>
    <row r="62" spans="1:27" ht="13.35" customHeight="1">
      <c r="A62" s="21" t="s">
        <v>733</v>
      </c>
      <c r="B62" s="2944"/>
      <c r="C62" s="2944"/>
      <c r="D62" s="2944"/>
      <c r="E62" s="2944"/>
      <c r="F62" s="2944"/>
      <c r="G62" s="2944"/>
      <c r="H62" s="2944"/>
      <c r="I62" s="2944"/>
      <c r="J62" s="2944"/>
      <c r="K62" s="2944"/>
      <c r="N62" s="3830"/>
      <c r="O62" s="3832"/>
      <c r="Q62" s="847"/>
      <c r="R62" s="945"/>
      <c r="Z62" s="2805" t="s">
        <v>6772</v>
      </c>
      <c r="AA62" s="1788">
        <v>62</v>
      </c>
    </row>
    <row r="63" spans="1:27" ht="13.35" customHeight="1">
      <c r="A63" s="409" t="s">
        <v>1121</v>
      </c>
      <c r="B63" s="2943">
        <f>+K31</f>
        <v>0</v>
      </c>
      <c r="C63" s="2943">
        <f t="shared" ref="C63:K63" si="24">+B63</f>
        <v>0</v>
      </c>
      <c r="D63" s="2943">
        <f t="shared" si="24"/>
        <v>0</v>
      </c>
      <c r="E63" s="2943">
        <f t="shared" si="24"/>
        <v>0</v>
      </c>
      <c r="F63" s="2943">
        <f t="shared" si="24"/>
        <v>0</v>
      </c>
      <c r="G63" s="2943">
        <f t="shared" si="24"/>
        <v>0</v>
      </c>
      <c r="H63" s="2943">
        <f t="shared" si="24"/>
        <v>0</v>
      </c>
      <c r="I63" s="2943">
        <f t="shared" si="24"/>
        <v>0</v>
      </c>
      <c r="J63" s="2943">
        <f t="shared" si="24"/>
        <v>0</v>
      </c>
      <c r="K63" s="2943">
        <f t="shared" si="24"/>
        <v>0</v>
      </c>
      <c r="N63" s="3830"/>
      <c r="O63" s="3832"/>
      <c r="Z63" s="2805" t="s">
        <v>6772</v>
      </c>
      <c r="AA63" s="1788">
        <v>63</v>
      </c>
    </row>
    <row r="64" spans="1:27" ht="13.35" customHeight="1">
      <c r="A64" s="409" t="s">
        <v>3508</v>
      </c>
      <c r="B64" s="2946">
        <f>IF('Part III-Sources of Funds'!$P$45="", 0,-'Part III-Sources of Funds'!$P$45)</f>
        <v>0</v>
      </c>
      <c r="C64" s="2946">
        <f>IF('Part III-Sources of Funds'!$P$45="", 0,-'Part III-Sources of Funds'!$P$45)</f>
        <v>0</v>
      </c>
      <c r="D64" s="2946">
        <f>IF('Part III-Sources of Funds'!$P$45="", 0,-'Part III-Sources of Funds'!$P$45)</f>
        <v>0</v>
      </c>
      <c r="E64" s="2946">
        <f>IF('Part III-Sources of Funds'!$P$45="", 0,-'Part III-Sources of Funds'!$P$45)</f>
        <v>0</v>
      </c>
      <c r="F64" s="2946">
        <f>IF('Part III-Sources of Funds'!$P$45="", 0,-'Part III-Sources of Funds'!$P$45)</f>
        <v>0</v>
      </c>
      <c r="G64" s="2946"/>
      <c r="H64" s="2946"/>
      <c r="I64" s="2946"/>
      <c r="J64" s="2946"/>
      <c r="K64" s="2946"/>
      <c r="N64" s="3830"/>
      <c r="O64" s="3832"/>
      <c r="Z64" s="2805" t="s">
        <v>6772</v>
      </c>
      <c r="AA64" s="1788">
        <v>64</v>
      </c>
    </row>
    <row r="65" spans="1:27" ht="13.35" customHeight="1">
      <c r="A65" s="21" t="s">
        <v>1122</v>
      </c>
      <c r="B65" s="22">
        <f t="shared" ref="B65:K65" si="25">SUM(B57:B64)</f>
        <v>64139.973133576044</v>
      </c>
      <c r="C65" s="22">
        <f t="shared" si="25"/>
        <v>63152.991102159023</v>
      </c>
      <c r="D65" s="22">
        <f t="shared" si="25"/>
        <v>61965.400287818949</v>
      </c>
      <c r="E65" s="22">
        <f t="shared" si="25"/>
        <v>60569.291440627683</v>
      </c>
      <c r="F65" s="22">
        <f t="shared" si="25"/>
        <v>58952.414613431523</v>
      </c>
      <c r="G65" s="22">
        <f t="shared" si="25"/>
        <v>57106.167472538538</v>
      </c>
      <c r="H65" s="22">
        <f t="shared" si="25"/>
        <v>55020.583228360658</v>
      </c>
      <c r="I65" s="22">
        <f t="shared" si="25"/>
        <v>52683.318174017477</v>
      </c>
      <c r="J65" s="22">
        <f t="shared" si="25"/>
        <v>50083.638819547574</v>
      </c>
      <c r="K65" s="566">
        <f t="shared" si="25"/>
        <v>47210.408608977217</v>
      </c>
      <c r="N65" s="3830"/>
      <c r="O65" s="3832"/>
      <c r="Z65" s="2805" t="s">
        <v>6772</v>
      </c>
      <c r="AA65" s="1788">
        <v>65</v>
      </c>
    </row>
    <row r="66" spans="1:27" ht="13.35" customHeight="1">
      <c r="A66" s="21" t="str">
        <f>$A34</f>
        <v>DCR Mortgage A</v>
      </c>
      <c r="B66" s="24">
        <f t="shared" ref="B66:K66" si="26">IF(B58=0,"",-B57/B58)</f>
        <v>1.3421391685214377</v>
      </c>
      <c r="C66" s="24">
        <f t="shared" si="26"/>
        <v>1.3368743516673463</v>
      </c>
      <c r="D66" s="24">
        <f t="shared" si="26"/>
        <v>1.3305394357964615</v>
      </c>
      <c r="E66" s="24">
        <f t="shared" si="26"/>
        <v>1.3230922309286224</v>
      </c>
      <c r="F66" s="24">
        <f t="shared" si="26"/>
        <v>1.3144673926845152</v>
      </c>
      <c r="G66" s="24">
        <f t="shared" si="26"/>
        <v>1.3046190339963271</v>
      </c>
      <c r="H66" s="24">
        <f t="shared" si="26"/>
        <v>1.2934939894363864</v>
      </c>
      <c r="I66" s="24">
        <f t="shared" si="26"/>
        <v>1.281026414486802</v>
      </c>
      <c r="J66" s="24">
        <f t="shared" si="26"/>
        <v>1.2671590539422577</v>
      </c>
      <c r="K66" s="25">
        <f t="shared" si="26"/>
        <v>1.2518325025393136</v>
      </c>
      <c r="N66" s="3830"/>
      <c r="O66" s="3832"/>
      <c r="Z66" s="2805" t="s">
        <v>6772</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5" t="s">
        <v>6772</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5" t="s">
        <v>6772</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5" t="s">
        <v>6772</v>
      </c>
      <c r="AA69" s="1787">
        <v>69</v>
      </c>
    </row>
    <row r="70" spans="1:27" ht="13.35" customHeight="1">
      <c r="A70" s="409" t="s">
        <v>3343</v>
      </c>
      <c r="B70" s="24">
        <f t="shared" ref="B70:K70" si="30">IF(AND(B58=0,B59=0,B60=0,B61=0),"",-B57/(B58+B59+B60+B61))</f>
        <v>1.3421391685214377</v>
      </c>
      <c r="C70" s="24">
        <f t="shared" si="30"/>
        <v>1.3368743516673463</v>
      </c>
      <c r="D70" s="24">
        <f t="shared" si="30"/>
        <v>1.3305394357964615</v>
      </c>
      <c r="E70" s="24">
        <f t="shared" si="30"/>
        <v>1.3230922309286224</v>
      </c>
      <c r="F70" s="24">
        <f t="shared" si="30"/>
        <v>1.3144673926845152</v>
      </c>
      <c r="G70" s="24">
        <f t="shared" si="30"/>
        <v>1.3046190339963271</v>
      </c>
      <c r="H70" s="24">
        <f t="shared" si="30"/>
        <v>1.2934939894363864</v>
      </c>
      <c r="I70" s="24">
        <f t="shared" si="30"/>
        <v>1.281026414486802</v>
      </c>
      <c r="J70" s="24">
        <f t="shared" si="30"/>
        <v>1.2671590539422577</v>
      </c>
      <c r="K70" s="25">
        <f t="shared" si="30"/>
        <v>1.2518325025393136</v>
      </c>
      <c r="N70" s="3830"/>
      <c r="O70" s="3832"/>
      <c r="Z70" s="2805" t="s">
        <v>6772</v>
      </c>
      <c r="AA70" s="1788">
        <v>70</v>
      </c>
    </row>
    <row r="71" spans="1:27" ht="13.35" customHeight="1">
      <c r="A71" s="21" t="s">
        <v>740</v>
      </c>
      <c r="B71" s="263">
        <f t="shared" ref="B71:K71" si="31">IF(OR(B54="Choose mgt fee",B54="Choose One!"),"",(B47+B48+B49+B50+B51) / -(B53+B54+B55))</f>
        <v>1.3777100810342788</v>
      </c>
      <c r="C71" s="263">
        <f t="shared" si="31"/>
        <v>1.3656125650499398</v>
      </c>
      <c r="D71" s="263">
        <f t="shared" si="31"/>
        <v>1.3536095730414794</v>
      </c>
      <c r="E71" s="263">
        <f t="shared" si="31"/>
        <v>1.3417034141181132</v>
      </c>
      <c r="F71" s="263">
        <f t="shared" si="31"/>
        <v>1.3298888775122368</v>
      </c>
      <c r="G71" s="263">
        <f t="shared" si="31"/>
        <v>1.3181682967111101</v>
      </c>
      <c r="H71" s="263">
        <f t="shared" si="31"/>
        <v>1.3065419650205226</v>
      </c>
      <c r="I71" s="263">
        <f t="shared" si="31"/>
        <v>1.2950068825706702</v>
      </c>
      <c r="J71" s="263">
        <f t="shared" si="31"/>
        <v>1.2835634804524243</v>
      </c>
      <c r="K71" s="264">
        <f t="shared" si="31"/>
        <v>1.2722120701222497</v>
      </c>
      <c r="N71" s="3830"/>
      <c r="O71" s="3832"/>
      <c r="Z71" s="2805" t="s">
        <v>6772</v>
      </c>
      <c r="AA71" s="1788">
        <v>71</v>
      </c>
    </row>
    <row r="72" spans="1:27" ht="13.35" customHeight="1">
      <c r="A72" s="409" t="s">
        <v>2493</v>
      </c>
      <c r="B72" s="2947">
        <f>IF('Part III-Sources of Funds'!$I$40="","",-FV('Part III-Sources of Funds'!$K$40/12,12,B58/12,K40))</f>
        <v>2555147.5191718531</v>
      </c>
      <c r="C72" s="2947">
        <f>IF('Part III-Sources of Funds'!$I$40="","",-FV('Part III-Sources of Funds'!$K$40/12,12,C58/12,B72))</f>
        <v>2500523.3046002649</v>
      </c>
      <c r="D72" s="2947">
        <f>IF('Part III-Sources of Funds'!$I$40="","",-FV('Part III-Sources of Funds'!$K$40/12,12,D58/12,C72))</f>
        <v>2442961.2967080111</v>
      </c>
      <c r="E72" s="2947">
        <f>IF('Part III-Sources of Funds'!$I$40="","",-FV('Part III-Sources of Funds'!$K$40/12,12,E58/12,D72))</f>
        <v>2382303.4954274907</v>
      </c>
      <c r="F72" s="2947">
        <f>IF('Part III-Sources of Funds'!$I$40="","",-FV('Part III-Sources of Funds'!$K$40/12,12,F58/12,E72))</f>
        <v>2318383.4031493645</v>
      </c>
      <c r="G72" s="2947">
        <f>IF('Part III-Sources of Funds'!$I$40="","",-FV('Part III-Sources of Funds'!$K$40/12,12,G58/12,F72))</f>
        <v>2251025.567708727</v>
      </c>
      <c r="H72" s="2947">
        <f>IF('Part III-Sources of Funds'!$I$40="","",-FV('Part III-Sources of Funds'!$K$40/12,12,H58/12,G72))</f>
        <v>2180045.1007922143</v>
      </c>
      <c r="I72" s="2947">
        <f>IF('Part III-Sources of Funds'!$I$40="","",-FV('Part III-Sources of Funds'!$K$40/12,12,I58/12,H72))</f>
        <v>2105247.1704441351</v>
      </c>
      <c r="J72" s="2947">
        <f>IF('Part III-Sources of Funds'!$I$40="","",-FV('Part III-Sources of Funds'!$K$40/12,12,J58/12,I72))</f>
        <v>2026426.466278627</v>
      </c>
      <c r="K72" s="2947">
        <f>IF('Part III-Sources of Funds'!$I$40="","",-FV('Part III-Sources of Funds'!$K$40/12,12,K58/12,J72))</f>
        <v>1943366.6359299109</v>
      </c>
      <c r="N72" s="3830"/>
      <c r="O72" s="3832"/>
      <c r="Z72" s="2805" t="s">
        <v>6772</v>
      </c>
      <c r="AA72" s="1788">
        <v>72</v>
      </c>
    </row>
    <row r="73" spans="1:27" ht="13.35" customHeight="1">
      <c r="A73" s="409" t="s">
        <v>2494</v>
      </c>
      <c r="B73" s="2943" t="str">
        <f>IF('Part III-Sources of Funds'!$I$41="","",-FV('Part III-Sources of Funds'!$K$41/12,12,B59/12,K41))</f>
        <v/>
      </c>
      <c r="C73" s="2943" t="str">
        <f>IF('Part III-Sources of Funds'!$I$41="","",-FV('Part III-Sources of Funds'!$K$41/12,12,C59/12,B73))</f>
        <v/>
      </c>
      <c r="D73" s="2943" t="str">
        <f>IF('Part III-Sources of Funds'!$I$41="","",-FV('Part III-Sources of Funds'!$K$41/12,12,D59/12,C73))</f>
        <v/>
      </c>
      <c r="E73" s="2943" t="str">
        <f>IF('Part III-Sources of Funds'!$I$41="","",-FV('Part III-Sources of Funds'!$K$41/12,12,E59/12,D73))</f>
        <v/>
      </c>
      <c r="F73" s="2943" t="str">
        <f>IF('Part III-Sources of Funds'!$I$41="","",-FV('Part III-Sources of Funds'!$K$41/12,12,F59/12,E73))</f>
        <v/>
      </c>
      <c r="G73" s="2943" t="str">
        <f>IF('Part III-Sources of Funds'!$I$41="","",-FV('Part III-Sources of Funds'!$K$41/12,12,G59/12,F73))</f>
        <v/>
      </c>
      <c r="H73" s="2943" t="str">
        <f>IF('Part III-Sources of Funds'!$I$41="","",-FV('Part III-Sources of Funds'!$K$41/12,12,H59/12,G73))</f>
        <v/>
      </c>
      <c r="I73" s="2943" t="str">
        <f>IF('Part III-Sources of Funds'!$I$41="","",-FV('Part III-Sources of Funds'!$K$41/12,12,I59/12,H73))</f>
        <v/>
      </c>
      <c r="J73" s="2943" t="str">
        <f>IF('Part III-Sources of Funds'!$I$41="","",-FV('Part III-Sources of Funds'!$K$41/12,12,J59/12,I73))</f>
        <v/>
      </c>
      <c r="K73" s="2943" t="str">
        <f>IF('Part III-Sources of Funds'!$I$41="","",-FV('Part III-Sources of Funds'!$K$41/12,12,K59/12,J73))</f>
        <v/>
      </c>
      <c r="N73" s="3830"/>
      <c r="O73" s="3832"/>
      <c r="Z73" s="2805" t="s">
        <v>6772</v>
      </c>
      <c r="AA73" s="1788">
        <v>73</v>
      </c>
    </row>
    <row r="74" spans="1:27" ht="13.35" customHeight="1">
      <c r="A74" s="409" t="s">
        <v>2495</v>
      </c>
      <c r="B74" s="2943" t="str">
        <f>IF('Part III-Sources of Funds'!$I$42="","",-FV('Part III-Sources of Funds'!$K$42/12,12,B60/12,K42))</f>
        <v/>
      </c>
      <c r="C74" s="2943" t="str">
        <f>IF('Part III-Sources of Funds'!$I$42="","",-FV('Part III-Sources of Funds'!$K$42/12,12,C60/12,B74))</f>
        <v/>
      </c>
      <c r="D74" s="2943" t="str">
        <f>IF('Part III-Sources of Funds'!$I$42="","",-FV('Part III-Sources of Funds'!$K$42/12,12,D60/12,C74))</f>
        <v/>
      </c>
      <c r="E74" s="2943" t="str">
        <f>IF('Part III-Sources of Funds'!$I$42="","",-FV('Part III-Sources of Funds'!$K$42/12,12,E60/12,D74))</f>
        <v/>
      </c>
      <c r="F74" s="2943" t="str">
        <f>IF('Part III-Sources of Funds'!$I$42="","",-FV('Part III-Sources of Funds'!$K$42/12,12,F60/12,E74))</f>
        <v/>
      </c>
      <c r="G74" s="2943" t="str">
        <f>IF('Part III-Sources of Funds'!$I$42="","",-FV('Part III-Sources of Funds'!$K$42/12,12,G60/12,F74))</f>
        <v/>
      </c>
      <c r="H74" s="2943" t="str">
        <f>IF('Part III-Sources of Funds'!$I$42="","",-FV('Part III-Sources of Funds'!$K$42/12,12,H60/12,G74))</f>
        <v/>
      </c>
      <c r="I74" s="2943" t="str">
        <f>IF('Part III-Sources of Funds'!$I$42="","",-FV('Part III-Sources of Funds'!$K$42/12,12,I60/12,H74))</f>
        <v/>
      </c>
      <c r="J74" s="2943" t="str">
        <f>IF('Part III-Sources of Funds'!$I$42="","",-FV('Part III-Sources of Funds'!$K$42/12,12,J60/12,I74))</f>
        <v/>
      </c>
      <c r="K74" s="2943" t="str">
        <f>IF('Part III-Sources of Funds'!$I$42="","",-FV('Part III-Sources of Funds'!$K$42/12,12,K60/12,J74))</f>
        <v/>
      </c>
      <c r="N74" s="3830"/>
      <c r="O74" s="3832"/>
      <c r="Z74" s="2805" t="s">
        <v>6772</v>
      </c>
      <c r="AA74" s="1787">
        <v>74</v>
      </c>
    </row>
    <row r="75" spans="1:27" ht="13.35" customHeight="1">
      <c r="A75" s="21" t="s">
        <v>752</v>
      </c>
      <c r="B75" s="2943" t="str">
        <f>IF('Part III-Sources of Funds'!$I$43="","",-FV('Part III-Sources of Funds'!$K$43/12,12,B61/12,K43))</f>
        <v/>
      </c>
      <c r="C75" s="2943" t="str">
        <f>IF('Part III-Sources of Funds'!$I$43="","",-FV('Part III-Sources of Funds'!$K$43/12,12,C61/12,B75))</f>
        <v/>
      </c>
      <c r="D75" s="2943" t="str">
        <f>IF('Part III-Sources of Funds'!$I$43="","",-FV('Part III-Sources of Funds'!$K$43/12,12,D61/12,C75))</f>
        <v/>
      </c>
      <c r="E75" s="2943" t="str">
        <f>IF('Part III-Sources of Funds'!$I$43="","",-FV('Part III-Sources of Funds'!$K$43/12,12,E61/12,D75))</f>
        <v/>
      </c>
      <c r="F75" s="2943" t="str">
        <f>IF('Part III-Sources of Funds'!$I$43="","",-FV('Part III-Sources of Funds'!$K$43/12,12,F61/12,E75))</f>
        <v/>
      </c>
      <c r="G75" s="2943" t="str">
        <f>IF('Part III-Sources of Funds'!$I$43="","",-FV('Part III-Sources of Funds'!$K$43/12,12,G61/12,F75))</f>
        <v/>
      </c>
      <c r="H75" s="2943" t="str">
        <f>IF('Part III-Sources of Funds'!$I$43="","",-FV('Part III-Sources of Funds'!$K$43/12,12,H61/12,G75))</f>
        <v/>
      </c>
      <c r="I75" s="2943" t="str">
        <f>IF('Part III-Sources of Funds'!$I$43="","",-FV('Part III-Sources of Funds'!$K$43/12,12,I61/12,H75))</f>
        <v/>
      </c>
      <c r="J75" s="2943" t="str">
        <f>IF('Part III-Sources of Funds'!$I$43="","",-FV('Part III-Sources of Funds'!$K$43/12,12,J61/12,I75))</f>
        <v/>
      </c>
      <c r="K75" s="2943" t="str">
        <f>IF('Part III-Sources of Funds'!$I$43="","",-FV('Part III-Sources of Funds'!$K$43/12,12,K61/12,J75))</f>
        <v/>
      </c>
      <c r="N75" s="3830"/>
      <c r="O75" s="3832"/>
      <c r="Z75" s="2805" t="s">
        <v>6772</v>
      </c>
      <c r="AA75" s="1788">
        <v>75</v>
      </c>
    </row>
    <row r="76" spans="1:27" ht="13.35" customHeight="1">
      <c r="A76" s="409" t="s">
        <v>3509</v>
      </c>
      <c r="B76" s="2946">
        <f>IF('Part III-Sources of Funds'!$I$45="","",IF(-FV('Part III-Sources of Funds'!$K$45/12,12,B64/12,K44)&gt;0,-FV('Part III-Sources of Funds'!$K$45/12,12,B64/12,K44),0))</f>
        <v>0</v>
      </c>
      <c r="C76" s="2946">
        <f>IF('Part III-Sources of Funds'!$I$45="","",IF(-FV('Part III-Sources of Funds'!$K$45/12,12,C64/12,B76)&gt;0,-FV('Part III-Sources of Funds'!$K$45/12,12,C64/12,B76),0))</f>
        <v>0</v>
      </c>
      <c r="D76" s="2946">
        <f>IF('Part III-Sources of Funds'!$I$45="","",IF(-FV('Part III-Sources of Funds'!$K$45/12,12,D64/12,C76)&gt;0,-FV('Part III-Sources of Funds'!$K$45/12,12,D64/12,C76),0))</f>
        <v>0</v>
      </c>
      <c r="E76" s="2946">
        <f>IF('Part III-Sources of Funds'!$I$45="","",IF(-FV('Part III-Sources of Funds'!$K$45/12,12,E64/12,D76)&gt;0,-FV('Part III-Sources of Funds'!$K$45/12,12,E64/12,D76),0))</f>
        <v>0</v>
      </c>
      <c r="F76" s="2946">
        <f>IF('Part III-Sources of Funds'!$I$45="","",IF(-FV('Part III-Sources of Funds'!$K$45/12,12,F64/12,E76)&gt;0,-FV('Part III-Sources of Funds'!$K$45/12,12,F64/12,E76),0))</f>
        <v>0</v>
      </c>
      <c r="G76" s="2946">
        <f>IF('Part III-Sources of Funds'!$I$45="","",IF(-FV('Part III-Sources of Funds'!$K$45/12,12,G64/12,F76)&gt;0,-FV('Part III-Sources of Funds'!$K$45/12,12,G64/12,F76),0))</f>
        <v>0</v>
      </c>
      <c r="H76" s="2946" t="str">
        <f>IF('Part III-Sources of Funds'!$I$43="","",-FV('Part III-Sources of Funds'!$K$43/12,12,H62/12,G76))</f>
        <v/>
      </c>
      <c r="I76" s="2946" t="str">
        <f>IF('Part III-Sources of Funds'!$I$43="","",-FV('Part III-Sources of Funds'!$K$43/12,12,I62/12,H76))</f>
        <v/>
      </c>
      <c r="J76" s="2946" t="str">
        <f>IF('Part III-Sources of Funds'!$I$43="","",-FV('Part III-Sources of Funds'!$K$43/12,12,J62/12,I76))</f>
        <v/>
      </c>
      <c r="K76" s="2946" t="str">
        <f>IF('Part III-Sources of Funds'!$I$43="","",-FV('Part III-Sources of Funds'!$K$43/12,12,K62/12,J76))</f>
        <v/>
      </c>
      <c r="N76" s="3842"/>
      <c r="O76" s="3844"/>
      <c r="Z76" s="2805"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5" t="s">
        <v>2498</v>
      </c>
      <c r="O78" s="3495"/>
      <c r="AA78" s="1788">
        <v>78</v>
      </c>
    </row>
    <row r="79" spans="1:27" ht="13.35" customHeight="1">
      <c r="A79" s="18" t="s">
        <v>2294</v>
      </c>
      <c r="B79" s="19">
        <f t="shared" ref="B79:K79" si="33">$B$15*(1+$B$6)^(B78-1)</f>
        <v>1179346.4014797234</v>
      </c>
      <c r="C79" s="19">
        <f t="shared" si="33"/>
        <v>1202933.3295093176</v>
      </c>
      <c r="D79" s="19">
        <f t="shared" si="33"/>
        <v>1226991.9960995042</v>
      </c>
      <c r="E79" s="19">
        <f t="shared" si="33"/>
        <v>1251531.8360214939</v>
      </c>
      <c r="F79" s="19">
        <f t="shared" si="33"/>
        <v>1276562.472741924</v>
      </c>
      <c r="G79" s="19">
        <f t="shared" si="33"/>
        <v>1302093.7221967625</v>
      </c>
      <c r="H79" s="19">
        <f t="shared" si="33"/>
        <v>1328135.5966406977</v>
      </c>
      <c r="I79" s="19">
        <f t="shared" si="33"/>
        <v>1354698.3085735114</v>
      </c>
      <c r="J79" s="19">
        <f t="shared" si="33"/>
        <v>1381792.2747449819</v>
      </c>
      <c r="K79" s="20">
        <f t="shared" si="33"/>
        <v>1409428.1202398813</v>
      </c>
      <c r="N79" s="3839"/>
      <c r="O79" s="3841"/>
      <c r="Z79" s="2805" t="s">
        <v>6773</v>
      </c>
      <c r="AA79" s="1788">
        <v>79</v>
      </c>
    </row>
    <row r="80" spans="1:27" ht="13.35" customHeight="1">
      <c r="A80" s="21" t="s">
        <v>977</v>
      </c>
      <c r="B80" s="22">
        <f t="shared" ref="B80:K80" si="34">$B$16*(1+$B$6)^(B78-1)</f>
        <v>23586.928029594466</v>
      </c>
      <c r="C80" s="22">
        <f t="shared" si="34"/>
        <v>24058.666590186353</v>
      </c>
      <c r="D80" s="22">
        <f t="shared" si="34"/>
        <v>24539.839921990082</v>
      </c>
      <c r="E80" s="22">
        <f t="shared" si="34"/>
        <v>25030.63672042988</v>
      </c>
      <c r="F80" s="22">
        <f t="shared" si="34"/>
        <v>25531.249454838478</v>
      </c>
      <c r="G80" s="22">
        <f t="shared" si="34"/>
        <v>26041.874443935249</v>
      </c>
      <c r="H80" s="22">
        <f t="shared" si="34"/>
        <v>26562.711932813956</v>
      </c>
      <c r="I80" s="22">
        <f t="shared" si="34"/>
        <v>27093.966171470231</v>
      </c>
      <c r="J80" s="22">
        <f t="shared" si="34"/>
        <v>27635.84549489964</v>
      </c>
      <c r="K80" s="23">
        <f t="shared" si="34"/>
        <v>28188.562404797631</v>
      </c>
      <c r="N80" s="3830"/>
      <c r="O80" s="3832"/>
      <c r="Z80" s="2805" t="s">
        <v>6773</v>
      </c>
      <c r="AA80" s="1788">
        <v>80</v>
      </c>
    </row>
    <row r="81" spans="1:27" ht="13.35" customHeight="1">
      <c r="A81" s="21" t="s">
        <v>2295</v>
      </c>
      <c r="B81" s="22">
        <f t="shared" ref="B81:K81" si="35">-(B79+B80)*$B$9</f>
        <v>-84205.333065652259</v>
      </c>
      <c r="C81" s="22">
        <f t="shared" si="35"/>
        <v>-85889.439726965284</v>
      </c>
      <c r="D81" s="22">
        <f t="shared" si="35"/>
        <v>-87607.228521504614</v>
      </c>
      <c r="E81" s="22">
        <f t="shared" si="35"/>
        <v>-89359.373091934671</v>
      </c>
      <c r="F81" s="22">
        <f t="shared" si="35"/>
        <v>-91146.560553773379</v>
      </c>
      <c r="G81" s="22">
        <f t="shared" si="35"/>
        <v>-92969.491764848848</v>
      </c>
      <c r="H81" s="22">
        <f t="shared" si="35"/>
        <v>-94828.881600145833</v>
      </c>
      <c r="I81" s="22">
        <f t="shared" si="35"/>
        <v>-96725.459232148729</v>
      </c>
      <c r="J81" s="22">
        <f t="shared" si="35"/>
        <v>-98659.968416791715</v>
      </c>
      <c r="K81" s="23">
        <f t="shared" si="35"/>
        <v>-100633.16778512753</v>
      </c>
      <c r="N81" s="3830"/>
      <c r="O81" s="3832"/>
      <c r="Z81" s="2805"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5"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5" t="s">
        <v>6773</v>
      </c>
      <c r="AA83" s="1787">
        <v>83</v>
      </c>
    </row>
    <row r="84" spans="1:27" ht="13.35" customHeight="1">
      <c r="A84" s="409" t="s">
        <v>4013</v>
      </c>
      <c r="B84" s="22">
        <f t="shared" ref="B84:K84" si="36">SUM(B79:B83)</f>
        <v>1118727.9964436656</v>
      </c>
      <c r="C84" s="22">
        <f t="shared" si="36"/>
        <v>1141102.5563725387</v>
      </c>
      <c r="D84" s="22">
        <f t="shared" si="36"/>
        <v>1163924.6074999897</v>
      </c>
      <c r="E84" s="22">
        <f t="shared" si="36"/>
        <v>1187203.099649989</v>
      </c>
      <c r="F84" s="22">
        <f t="shared" si="36"/>
        <v>1210947.1616429891</v>
      </c>
      <c r="G84" s="22">
        <f t="shared" si="36"/>
        <v>1235166.1048758489</v>
      </c>
      <c r="H84" s="22">
        <f t="shared" si="36"/>
        <v>1259869.4269733657</v>
      </c>
      <c r="I84" s="22">
        <f t="shared" si="36"/>
        <v>1285066.815512833</v>
      </c>
      <c r="J84" s="22">
        <f t="shared" si="36"/>
        <v>1310768.1518230899</v>
      </c>
      <c r="K84" s="23">
        <f t="shared" si="36"/>
        <v>1336983.5148595516</v>
      </c>
      <c r="N84" s="3830"/>
      <c r="O84" s="3832"/>
      <c r="Z84" s="2805" t="s">
        <v>6773</v>
      </c>
      <c r="AA84" s="1788">
        <v>84</v>
      </c>
    </row>
    <row r="85" spans="1:27" ht="13.35" customHeight="1">
      <c r="A85" s="21" t="s">
        <v>585</v>
      </c>
      <c r="B85" s="22">
        <f t="shared" ref="B85:K85" si="37">$B$21*(1+$B$7)^(B78-1)</f>
        <v>-766004.28462552221</v>
      </c>
      <c r="C85" s="22">
        <f t="shared" si="37"/>
        <v>-788984.41316428781</v>
      </c>
      <c r="D85" s="22">
        <f t="shared" si="37"/>
        <v>-812653.94555921643</v>
      </c>
      <c r="E85" s="22">
        <f t="shared" si="37"/>
        <v>-837033.56392599305</v>
      </c>
      <c r="F85" s="22">
        <f t="shared" si="37"/>
        <v>-862144.57084377273</v>
      </c>
      <c r="G85" s="22">
        <f t="shared" si="37"/>
        <v>-888008.90796908585</v>
      </c>
      <c r="H85" s="22">
        <f t="shared" si="37"/>
        <v>-914649.17520815856</v>
      </c>
      <c r="I85" s="22">
        <f t="shared" si="37"/>
        <v>-942088.65046440321</v>
      </c>
      <c r="J85" s="22">
        <f t="shared" si="37"/>
        <v>-970351.30997833528</v>
      </c>
      <c r="K85" s="23">
        <f t="shared" si="37"/>
        <v>-999461.84927768528</v>
      </c>
      <c r="N85" s="3830"/>
      <c r="O85" s="3832"/>
      <c r="Z85" s="2805"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-78311</v>
      </c>
      <c r="C86" s="22">
        <f>IF(AND('Part VII-Pro Forma'!$G$9="Yes",'Part VII-Pro Forma'!$G$10="Yes"),"Choose One!",IF('Part VII-Pro Forma'!$G$9="Yes",ROUND((-$K$9*(1+'Part VII-Pro Forma'!$B$7)^('Part VII-Pro Forma'!C78-1)),),IF('Part VII-Pro Forma'!$G$10="Yes",ROUND((-(SUM(C79:C82)*'Part VII-Pro Forma'!$K$10)),),"Choose mgt fee")))</f>
        <v>-79877</v>
      </c>
      <c r="D86" s="22">
        <f>IF(AND('Part VII-Pro Forma'!$G$9="Yes",'Part VII-Pro Forma'!$G$10="Yes"),"Choose One!",IF('Part VII-Pro Forma'!$G$9="Yes",ROUND((-$K$9*(1+'Part VII-Pro Forma'!$B$7)^('Part VII-Pro Forma'!D78-1)),),IF('Part VII-Pro Forma'!$G$10="Yes",ROUND((-(SUM(D79:D82)*'Part VII-Pro Forma'!$K$10)),),"Choose mgt fee")))</f>
        <v>-81475</v>
      </c>
      <c r="E86" s="22">
        <f>IF(AND('Part VII-Pro Forma'!$G$9="Yes",'Part VII-Pro Forma'!$G$10="Yes"),"Choose One!",IF('Part VII-Pro Forma'!$G$9="Yes",ROUND((-$K$9*(1+'Part VII-Pro Forma'!$B$7)^('Part VII-Pro Forma'!E78-1)),),IF('Part VII-Pro Forma'!$G$10="Yes",ROUND((-(SUM(E79:E82)*'Part VII-Pro Forma'!$K$10)),),"Choose mgt fee")))</f>
        <v>-83104</v>
      </c>
      <c r="F86" s="22">
        <f>IF(AND('Part VII-Pro Forma'!$G$9="Yes",'Part VII-Pro Forma'!$G$10="Yes"),"Choose One!",IF('Part VII-Pro Forma'!$G$9="Yes",ROUND((-$K$9*(1+'Part VII-Pro Forma'!$B$7)^('Part VII-Pro Forma'!F78-1)),),IF('Part VII-Pro Forma'!$G$10="Yes",ROUND((-(SUM(F79:F82)*'Part VII-Pro Forma'!$K$10)),),"Choose mgt fee")))</f>
        <v>-84766</v>
      </c>
      <c r="G86" s="22">
        <f>IF(AND('Part VII-Pro Forma'!$G$9="Yes",'Part VII-Pro Forma'!$G$10="Yes"),"Choose One!",IF('Part VII-Pro Forma'!$G$9="Yes",ROUND((-$K$9*(1+'Part VII-Pro Forma'!$B$7)^('Part VII-Pro Forma'!G78-1)),),IF('Part VII-Pro Forma'!$G$10="Yes",ROUND((-(SUM(G79:G82)*'Part VII-Pro Forma'!$K$10)),),"Choose mgt fee")))</f>
        <v>-86462</v>
      </c>
      <c r="H86" s="22">
        <f>IF(AND('Part VII-Pro Forma'!$G$9="Yes",'Part VII-Pro Forma'!$G$10="Yes"),"Choose One!",IF('Part VII-Pro Forma'!$G$9="Yes",ROUND((-$K$9*(1+'Part VII-Pro Forma'!$B$7)^('Part VII-Pro Forma'!H78-1)),),IF('Part VII-Pro Forma'!$G$10="Yes",ROUND((-(SUM(H79:H82)*'Part VII-Pro Forma'!$K$10)),),"Choose mgt fee")))</f>
        <v>-88191</v>
      </c>
      <c r="I86" s="22">
        <f>IF(AND('Part VII-Pro Forma'!$G$9="Yes",'Part VII-Pro Forma'!$G$10="Yes"),"Choose One!",IF('Part VII-Pro Forma'!$G$9="Yes",ROUND((-$K$9*(1+'Part VII-Pro Forma'!$B$7)^('Part VII-Pro Forma'!I78-1)),),IF('Part VII-Pro Forma'!$G$10="Yes",ROUND((-(SUM(I79:I82)*'Part VII-Pro Forma'!$K$10)),),"Choose mgt fee")))</f>
        <v>-89955</v>
      </c>
      <c r="J86" s="22">
        <f>IF(AND('Part VII-Pro Forma'!$G$9="Yes",'Part VII-Pro Forma'!$G$10="Yes"),"Choose One!",IF('Part VII-Pro Forma'!$G$9="Yes",ROUND((-$K$9*(1+'Part VII-Pro Forma'!$B$7)^('Part VII-Pro Forma'!J78-1)),),IF('Part VII-Pro Forma'!$G$10="Yes",ROUND((-(SUM(J79:J82)*'Part VII-Pro Forma'!$K$10)),),"Choose mgt fee")))</f>
        <v>-91754</v>
      </c>
      <c r="K86" s="23">
        <f>IF(AND('Part VII-Pro Forma'!$G$9="Yes",'Part VII-Pro Forma'!$G$10="Yes"),"Choose One!",IF('Part VII-Pro Forma'!$G$9="Yes",ROUND((-$K$9*(1+'Part VII-Pro Forma'!$B$7)^('Part VII-Pro Forma'!K78-1)),),IF('Part VII-Pro Forma'!$G$10="Yes",ROUND((-(SUM(K79:K82)*'Part VII-Pro Forma'!$K$10)),),"Choose mgt fee")))</f>
        <v>-93589</v>
      </c>
      <c r="N86" s="3830"/>
      <c r="O86" s="3832"/>
      <c r="Z86" s="2805" t="s">
        <v>6773</v>
      </c>
      <c r="AA86" s="1788">
        <v>86</v>
      </c>
    </row>
    <row r="87" spans="1:27" ht="13.35" customHeight="1">
      <c r="A87" s="21" t="s">
        <v>1156</v>
      </c>
      <c r="B87" s="22">
        <f t="shared" ref="B87:K87" si="38">$B$23*(1+$B$8)^(B78-1)</f>
        <v>-42895.141823398568</v>
      </c>
      <c r="C87" s="22">
        <f t="shared" si="38"/>
        <v>-44181.996078100514</v>
      </c>
      <c r="D87" s="22">
        <f t="shared" si="38"/>
        <v>-45507.455960443534</v>
      </c>
      <c r="E87" s="22">
        <f t="shared" si="38"/>
        <v>-46872.679639256843</v>
      </c>
      <c r="F87" s="22">
        <f t="shared" si="38"/>
        <v>-48278.860028434545</v>
      </c>
      <c r="G87" s="22">
        <f t="shared" si="38"/>
        <v>-49727.225829287578</v>
      </c>
      <c r="H87" s="22">
        <f t="shared" si="38"/>
        <v>-51219.042604166214</v>
      </c>
      <c r="I87" s="22">
        <f t="shared" si="38"/>
        <v>-52755.613882291196</v>
      </c>
      <c r="J87" s="22">
        <f t="shared" si="38"/>
        <v>-54338.282298759928</v>
      </c>
      <c r="K87" s="23">
        <f t="shared" si="38"/>
        <v>-55968.430767722719</v>
      </c>
      <c r="N87" s="3830"/>
      <c r="O87" s="3832"/>
      <c r="Q87" s="847">
        <v>10</v>
      </c>
      <c r="R87" s="945">
        <f>-SUM(B93:K93)</f>
        <v>0</v>
      </c>
      <c r="S87" s="945">
        <f>SUM(B94:K94)+R87</f>
        <v>0</v>
      </c>
      <c r="Z87" s="2805" t="s">
        <v>6773</v>
      </c>
      <c r="AA87" s="1788">
        <v>87</v>
      </c>
    </row>
    <row r="88" spans="1:27" ht="13.35" customHeight="1">
      <c r="A88" s="409" t="s">
        <v>4012</v>
      </c>
      <c r="B88" s="2941">
        <f>IF(B78&lt;=+'Part VI-Revenues &amp; Expenses'!$N$248,-'Part VI-Revenues &amp; Expenses'!$K$248,0)</f>
        <v>0</v>
      </c>
      <c r="C88" s="2941">
        <f>IF(C78&lt;=+'Part VI-Revenues &amp; Expenses'!$N$248,-'Part VI-Revenues &amp; Expenses'!$K$248,0)</f>
        <v>0</v>
      </c>
      <c r="D88" s="2941">
        <f>IF(D78&lt;=+'Part VI-Revenues &amp; Expenses'!$N$248,-'Part VI-Revenues &amp; Expenses'!$K$248,0)</f>
        <v>0</v>
      </c>
      <c r="E88" s="2941">
        <f>IF(E78&lt;=+'Part VI-Revenues &amp; Expenses'!$N$248,-'Part VI-Revenues &amp; Expenses'!$K$248,0)</f>
        <v>0</v>
      </c>
      <c r="F88" s="2941">
        <f>IF(F78&lt;=+'Part VI-Revenues &amp; Expenses'!$N$248,-'Part VI-Revenues &amp; Expenses'!$K$248,0)</f>
        <v>0</v>
      </c>
      <c r="G88" s="2941">
        <f>IF(G78&lt;=+'Part VI-Revenues &amp; Expenses'!$N$248,-'Part VI-Revenues &amp; Expenses'!$K$248,0)</f>
        <v>0</v>
      </c>
      <c r="H88" s="2941">
        <f>IF(H78&lt;=+'Part VI-Revenues &amp; Expenses'!$N$248,-'Part VI-Revenues &amp; Expenses'!$K$248,0)</f>
        <v>0</v>
      </c>
      <c r="I88" s="2941">
        <f>IF(I78&lt;=+'Part VI-Revenues &amp; Expenses'!$N$248,-'Part VI-Revenues &amp; Expenses'!$K$248,0)</f>
        <v>0</v>
      </c>
      <c r="J88" s="2941">
        <f>IF(J78&lt;=+'Part VI-Revenues &amp; Expenses'!$N$248,-'Part VI-Revenues &amp; Expenses'!$K$248,0)</f>
        <v>0</v>
      </c>
      <c r="K88" s="2941">
        <f>IF(K78&lt;=+'Part VI-Revenues &amp; Expenses'!$N$248,-'Part VI-Revenues &amp; Expenses'!$K$248,0)</f>
        <v>0</v>
      </c>
      <c r="N88" s="3830"/>
      <c r="O88" s="3832"/>
      <c r="Z88" s="2805" t="s">
        <v>6773</v>
      </c>
      <c r="AA88" s="1788">
        <v>88</v>
      </c>
    </row>
    <row r="89" spans="1:27" ht="13.35" customHeight="1">
      <c r="A89" s="21" t="s">
        <v>1157</v>
      </c>
      <c r="B89" s="22">
        <f t="shared" ref="B89:K89" si="39">SUM(B84:B88)</f>
        <v>231517.56999474482</v>
      </c>
      <c r="C89" s="22">
        <f t="shared" si="39"/>
        <v>228059.14713015035</v>
      </c>
      <c r="D89" s="22">
        <f t="shared" si="39"/>
        <v>224288.20598032972</v>
      </c>
      <c r="E89" s="22">
        <f t="shared" si="39"/>
        <v>220192.85608473915</v>
      </c>
      <c r="F89" s="22">
        <f t="shared" si="39"/>
        <v>215757.73077078187</v>
      </c>
      <c r="G89" s="22">
        <f t="shared" si="39"/>
        <v>210967.97107747543</v>
      </c>
      <c r="H89" s="22">
        <f t="shared" si="39"/>
        <v>205810.20916104096</v>
      </c>
      <c r="I89" s="22">
        <f t="shared" si="39"/>
        <v>200267.55116613855</v>
      </c>
      <c r="J89" s="22">
        <f t="shared" si="39"/>
        <v>194324.55954599471</v>
      </c>
      <c r="K89" s="1299">
        <f t="shared" si="39"/>
        <v>187964.23481414357</v>
      </c>
      <c r="N89" s="3830"/>
      <c r="O89" s="3832"/>
      <c r="Z89" s="2805" t="s">
        <v>6773</v>
      </c>
      <c r="AA89" s="1788">
        <v>89</v>
      </c>
    </row>
    <row r="90" spans="1:27" ht="13.35" customHeight="1">
      <c r="A90" s="21" t="str">
        <f>$A58</f>
        <v>Mortgage A</v>
      </c>
      <c r="B90" s="2942">
        <f>IF('Part III-Sources of Funds'!$P$40="", 0,-'Part III-Sources of Funds'!$P$40)</f>
        <v>-187467.49578763059</v>
      </c>
      <c r="C90" s="2942">
        <f>IF('Part III-Sources of Funds'!$P$40="", 0,-'Part III-Sources of Funds'!$P$40)</f>
        <v>-187467.49578763059</v>
      </c>
      <c r="D90" s="2942">
        <f>IF('Part III-Sources of Funds'!$P$40="", 0,-'Part III-Sources of Funds'!$P$40)</f>
        <v>-187467.49578763059</v>
      </c>
      <c r="E90" s="2942">
        <f>IF('Part III-Sources of Funds'!$P$40="", 0,-'Part III-Sources of Funds'!$P$40)</f>
        <v>-187467.49578763059</v>
      </c>
      <c r="F90" s="2942">
        <f>IF('Part III-Sources of Funds'!$P$40="", 0,-'Part III-Sources of Funds'!$P$40)</f>
        <v>-187467.49578763059</v>
      </c>
      <c r="G90" s="2942">
        <f>IF('Part III-Sources of Funds'!$P$40="", 0,-'Part III-Sources of Funds'!$P$40)</f>
        <v>-187467.49578763059</v>
      </c>
      <c r="H90" s="2942">
        <f>IF('Part III-Sources of Funds'!$P$40="", 0,-'Part III-Sources of Funds'!$P$40)</f>
        <v>-187467.49578763059</v>
      </c>
      <c r="I90" s="2942">
        <f>IF('Part III-Sources of Funds'!$P$40="", 0,-'Part III-Sources of Funds'!$P$40)</f>
        <v>-187467.49578763059</v>
      </c>
      <c r="J90" s="2942">
        <f>IF('Part III-Sources of Funds'!$P$40="", 0,-'Part III-Sources of Funds'!$P$40)</f>
        <v>-187467.49578763059</v>
      </c>
      <c r="K90" s="2942">
        <f>IF('Part III-Sources of Funds'!$P$40="", 0,-'Part III-Sources of Funds'!$P$40)</f>
        <v>-187467.49578763059</v>
      </c>
      <c r="N90" s="3830"/>
      <c r="O90" s="3832"/>
      <c r="Z90" s="2805" t="s">
        <v>6773</v>
      </c>
      <c r="AA90" s="1788">
        <v>90</v>
      </c>
    </row>
    <row r="91" spans="1:27" ht="13.35" customHeight="1">
      <c r="A91" s="21" t="str">
        <f>$A59</f>
        <v>Mortgage B</v>
      </c>
      <c r="B91" s="2943">
        <f>IF('Part III-Sources of Funds'!$P$41="", 0,-'Part III-Sources of Funds'!$P$41)</f>
        <v>0</v>
      </c>
      <c r="C91" s="2943">
        <f>IF('Part III-Sources of Funds'!$P$41="", 0,-'Part III-Sources of Funds'!$P$41)</f>
        <v>0</v>
      </c>
      <c r="D91" s="2943">
        <f>IF('Part III-Sources of Funds'!$P$41="", 0,-'Part III-Sources of Funds'!$P$41)</f>
        <v>0</v>
      </c>
      <c r="E91" s="2943">
        <f>IF('Part III-Sources of Funds'!$P$41="", 0,-'Part III-Sources of Funds'!$P$41)</f>
        <v>0</v>
      </c>
      <c r="F91" s="2943">
        <f>IF('Part III-Sources of Funds'!$P$41="", 0,-'Part III-Sources of Funds'!$P$41)</f>
        <v>0</v>
      </c>
      <c r="G91" s="2943">
        <f>IF('Part III-Sources of Funds'!$P$41="", 0,-'Part III-Sources of Funds'!$P$41)</f>
        <v>0</v>
      </c>
      <c r="H91" s="2943">
        <f>IF('Part III-Sources of Funds'!$P$41="", 0,-'Part III-Sources of Funds'!$P$41)</f>
        <v>0</v>
      </c>
      <c r="I91" s="2943">
        <f>IF('Part III-Sources of Funds'!$P$41="", 0,-'Part III-Sources of Funds'!$P$41)</f>
        <v>0</v>
      </c>
      <c r="J91" s="2943">
        <f>IF('Part III-Sources of Funds'!$P$41="", 0,-'Part III-Sources of Funds'!$P$41)</f>
        <v>0</v>
      </c>
      <c r="K91" s="2943">
        <f>IF('Part III-Sources of Funds'!$P$41="", 0,-'Part III-Sources of Funds'!$P$41)</f>
        <v>0</v>
      </c>
      <c r="N91" s="3830"/>
      <c r="O91" s="3832"/>
      <c r="Z91" s="2805" t="s">
        <v>6773</v>
      </c>
      <c r="AA91" s="1788">
        <v>91</v>
      </c>
    </row>
    <row r="92" spans="1:27" ht="13.35" customHeight="1">
      <c r="A92" s="21" t="str">
        <f>$A60</f>
        <v>Mortgage C</v>
      </c>
      <c r="B92" s="2943">
        <f>IF('Part III-Sources of Funds'!$P$42="", 0,-'Part III-Sources of Funds'!$P$42)</f>
        <v>0</v>
      </c>
      <c r="C92" s="2943">
        <f>IF('Part III-Sources of Funds'!$P$42="", 0,-'Part III-Sources of Funds'!$P$42)</f>
        <v>0</v>
      </c>
      <c r="D92" s="2943">
        <f>IF('Part III-Sources of Funds'!$P$42="", 0,-'Part III-Sources of Funds'!$P$42)</f>
        <v>0</v>
      </c>
      <c r="E92" s="2943">
        <f>IF('Part III-Sources of Funds'!$P$42="", 0,-'Part III-Sources of Funds'!$P$42)</f>
        <v>0</v>
      </c>
      <c r="F92" s="2943">
        <f>IF('Part III-Sources of Funds'!$P$42="", 0,-'Part III-Sources of Funds'!$P$42)</f>
        <v>0</v>
      </c>
      <c r="G92" s="2943">
        <f>IF('Part III-Sources of Funds'!$P$42="", 0,-'Part III-Sources of Funds'!$P$42)</f>
        <v>0</v>
      </c>
      <c r="H92" s="2943">
        <f>IF('Part III-Sources of Funds'!$P$42="", 0,-'Part III-Sources of Funds'!$P$42)</f>
        <v>0</v>
      </c>
      <c r="I92" s="2943">
        <f>IF('Part III-Sources of Funds'!$P$42="", 0,-'Part III-Sources of Funds'!$P$42)</f>
        <v>0</v>
      </c>
      <c r="J92" s="2943">
        <f>IF('Part III-Sources of Funds'!$P$42="", 0,-'Part III-Sources of Funds'!$P$42)</f>
        <v>0</v>
      </c>
      <c r="K92" s="2943">
        <f>IF('Part III-Sources of Funds'!$P$42="", 0,-'Part III-Sources of Funds'!$P$42)</f>
        <v>0</v>
      </c>
      <c r="N92" s="3830"/>
      <c r="O92" s="3832"/>
      <c r="Z92" s="2805" t="s">
        <v>6773</v>
      </c>
      <c r="AA92" s="1787">
        <v>92</v>
      </c>
    </row>
    <row r="93" spans="1:27" ht="13.35" customHeight="1">
      <c r="A93" s="21" t="str">
        <f>$A61</f>
        <v>D/S Other Source,not DDF</v>
      </c>
      <c r="B93" s="2943">
        <f>IF('Part III-Sources of Funds'!$P$43="", 0,-'Part III-Sources of Funds'!$P$43)</f>
        <v>0</v>
      </c>
      <c r="C93" s="2943">
        <f>IF('Part III-Sources of Funds'!$P$43="", 0,-'Part III-Sources of Funds'!$P$43)</f>
        <v>0</v>
      </c>
      <c r="D93" s="2943">
        <f>IF('Part III-Sources of Funds'!$P$43="", 0,-'Part III-Sources of Funds'!$P$43)</f>
        <v>0</v>
      </c>
      <c r="E93" s="2943">
        <f>IF('Part III-Sources of Funds'!$P$43="", 0,-'Part III-Sources of Funds'!$P$43)</f>
        <v>0</v>
      </c>
      <c r="F93" s="2943">
        <f>IF('Part III-Sources of Funds'!$P$43="", 0,-'Part III-Sources of Funds'!$P$43)</f>
        <v>0</v>
      </c>
      <c r="G93" s="2943">
        <f>IF('Part III-Sources of Funds'!$P$43="", 0,-'Part III-Sources of Funds'!$P$43)</f>
        <v>0</v>
      </c>
      <c r="H93" s="2943">
        <f>IF('Part III-Sources of Funds'!$P$43="", 0,-'Part III-Sources of Funds'!$P$43)</f>
        <v>0</v>
      </c>
      <c r="I93" s="2943">
        <f>IF('Part III-Sources of Funds'!$P$43="", 0,-'Part III-Sources of Funds'!$P$43)</f>
        <v>0</v>
      </c>
      <c r="J93" s="2943">
        <f>IF('Part III-Sources of Funds'!$P$43="", 0,-'Part III-Sources of Funds'!$P$43)</f>
        <v>0</v>
      </c>
      <c r="K93" s="2943">
        <f>IF('Part III-Sources of Funds'!$P$43="", 0,-'Part III-Sources of Funds'!$P$43)</f>
        <v>0</v>
      </c>
      <c r="N93" s="3830"/>
      <c r="O93" s="3832"/>
      <c r="Z93" s="2805" t="s">
        <v>6773</v>
      </c>
      <c r="AA93" s="1788">
        <v>93</v>
      </c>
    </row>
    <row r="94" spans="1:27" ht="13.35" customHeight="1">
      <c r="A94" s="21" t="s">
        <v>733</v>
      </c>
      <c r="B94" s="2944"/>
      <c r="C94" s="2944"/>
      <c r="D94" s="2944"/>
      <c r="E94" s="2944"/>
      <c r="F94" s="2944"/>
      <c r="G94" s="2944"/>
      <c r="H94" s="2944"/>
      <c r="I94" s="2944"/>
      <c r="J94" s="2944"/>
      <c r="K94" s="2944"/>
      <c r="N94" s="3830"/>
      <c r="O94" s="3832"/>
      <c r="Z94" s="2805" t="s">
        <v>6773</v>
      </c>
      <c r="AA94" s="1788">
        <v>94</v>
      </c>
    </row>
    <row r="95" spans="1:27" ht="13.35" customHeight="1">
      <c r="A95" s="409" t="s">
        <v>1121</v>
      </c>
      <c r="B95" s="2946">
        <f>+K63</f>
        <v>0</v>
      </c>
      <c r="C95" s="2946">
        <f t="shared" ref="C95:K95" si="40">+B95</f>
        <v>0</v>
      </c>
      <c r="D95" s="2946">
        <f t="shared" si="40"/>
        <v>0</v>
      </c>
      <c r="E95" s="2946">
        <f t="shared" si="40"/>
        <v>0</v>
      </c>
      <c r="F95" s="2946">
        <f t="shared" si="40"/>
        <v>0</v>
      </c>
      <c r="G95" s="2946">
        <f t="shared" si="40"/>
        <v>0</v>
      </c>
      <c r="H95" s="2946">
        <f t="shared" si="40"/>
        <v>0</v>
      </c>
      <c r="I95" s="2946">
        <f t="shared" si="40"/>
        <v>0</v>
      </c>
      <c r="J95" s="2946">
        <f t="shared" si="40"/>
        <v>0</v>
      </c>
      <c r="K95" s="2946">
        <f t="shared" si="40"/>
        <v>0</v>
      </c>
      <c r="N95" s="3830"/>
      <c r="O95" s="3832"/>
      <c r="Z95" s="2805" t="s">
        <v>6773</v>
      </c>
      <c r="AA95" s="1788">
        <v>95</v>
      </c>
    </row>
    <row r="96" spans="1:27" ht="13.35" customHeight="1">
      <c r="A96" s="21" t="s">
        <v>1122</v>
      </c>
      <c r="B96" s="22">
        <f t="shared" ref="B96:K96" si="41">SUM(B89:B95)</f>
        <v>44050.07420711423</v>
      </c>
      <c r="C96" s="22">
        <f t="shared" si="41"/>
        <v>40591.651342519763</v>
      </c>
      <c r="D96" s="22">
        <f t="shared" si="41"/>
        <v>36820.710192699131</v>
      </c>
      <c r="E96" s="22">
        <f t="shared" si="41"/>
        <v>32725.360297108564</v>
      </c>
      <c r="F96" s="22">
        <f t="shared" si="41"/>
        <v>28290.234983151284</v>
      </c>
      <c r="G96" s="22">
        <f t="shared" si="41"/>
        <v>23500.47528984485</v>
      </c>
      <c r="H96" s="22">
        <f t="shared" si="41"/>
        <v>18342.71337341037</v>
      </c>
      <c r="I96" s="22">
        <f t="shared" si="41"/>
        <v>12800.055378507968</v>
      </c>
      <c r="J96" s="22">
        <f t="shared" si="41"/>
        <v>6857.0637583641219</v>
      </c>
      <c r="K96" s="23">
        <f t="shared" si="41"/>
        <v>496.73902651297976</v>
      </c>
      <c r="N96" s="3830"/>
      <c r="O96" s="3832"/>
      <c r="Z96" s="2805" t="s">
        <v>6773</v>
      </c>
      <c r="AA96" s="1788">
        <v>96</v>
      </c>
    </row>
    <row r="97" spans="1:27" ht="13.35" customHeight="1">
      <c r="A97" s="21" t="str">
        <f>$A66</f>
        <v>DCR Mortgage A</v>
      </c>
      <c r="B97" s="24">
        <f t="shared" ref="B97:K97" si="42">IF(B90=0,"",-B89/B90)</f>
        <v>1.2349744632905089</v>
      </c>
      <c r="C97" s="24">
        <f t="shared" si="42"/>
        <v>1.2165263432574112</v>
      </c>
      <c r="D97" s="24">
        <f t="shared" si="42"/>
        <v>1.1964111700431037</v>
      </c>
      <c r="E97" s="24">
        <f t="shared" si="42"/>
        <v>1.1745655168626188</v>
      </c>
      <c r="F97" s="24">
        <f t="shared" si="42"/>
        <v>1.1509074139188342</v>
      </c>
      <c r="G97" s="24">
        <f t="shared" si="42"/>
        <v>1.125357599679397</v>
      </c>
      <c r="H97" s="24">
        <f t="shared" si="42"/>
        <v>1.097844766615913</v>
      </c>
      <c r="I97" s="24">
        <f t="shared" si="42"/>
        <v>1.0682787985444062</v>
      </c>
      <c r="J97" s="24">
        <f t="shared" si="42"/>
        <v>1.036577347606606</v>
      </c>
      <c r="K97" s="25">
        <f t="shared" si="42"/>
        <v>1.0026497341548515</v>
      </c>
      <c r="N97" s="3830"/>
      <c r="O97" s="3832"/>
      <c r="Z97" s="2805" t="s">
        <v>6773</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5" t="s">
        <v>6773</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5" t="s">
        <v>6773</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5" t="s">
        <v>6773</v>
      </c>
      <c r="AA100" s="1787">
        <v>100</v>
      </c>
    </row>
    <row r="101" spans="1:27" ht="13.35" customHeight="1">
      <c r="A101" s="409" t="s">
        <v>3343</v>
      </c>
      <c r="B101" s="24">
        <f t="shared" ref="B101:K101" si="46">IF(AND(B90=0,B91=0,B92=0,B93=0),"",-B89/(B90+B91+B92+B93))</f>
        <v>1.2349744632905089</v>
      </c>
      <c r="C101" s="24">
        <f t="shared" si="46"/>
        <v>1.2165263432574112</v>
      </c>
      <c r="D101" s="24">
        <f t="shared" si="46"/>
        <v>1.1964111700431037</v>
      </c>
      <c r="E101" s="24">
        <f t="shared" si="46"/>
        <v>1.1745655168626188</v>
      </c>
      <c r="F101" s="24">
        <f t="shared" si="46"/>
        <v>1.1509074139188342</v>
      </c>
      <c r="G101" s="24">
        <f t="shared" si="46"/>
        <v>1.125357599679397</v>
      </c>
      <c r="H101" s="24">
        <f t="shared" si="46"/>
        <v>1.097844766615913</v>
      </c>
      <c r="I101" s="24">
        <f t="shared" si="46"/>
        <v>1.0682787985444062</v>
      </c>
      <c r="J101" s="24">
        <f t="shared" si="46"/>
        <v>1.036577347606606</v>
      </c>
      <c r="K101" s="25">
        <f t="shared" si="46"/>
        <v>1.0026497341548515</v>
      </c>
      <c r="N101" s="3830"/>
      <c r="O101" s="3832"/>
      <c r="Z101" s="2805" t="s">
        <v>6773</v>
      </c>
      <c r="AA101" s="1788">
        <v>101</v>
      </c>
    </row>
    <row r="102" spans="1:27" ht="13.35" customHeight="1">
      <c r="A102" s="21" t="s">
        <v>740</v>
      </c>
      <c r="B102" s="263">
        <f>IF(OR(B86="Choose mgt fee",B86="Choose One!"),"",(B79+B80+B81+B82+B83) / -(B85+B86+B87))</f>
        <v>1.2609500103841194</v>
      </c>
      <c r="C102" s="263">
        <f t="shared" ref="C102:K102" si="47">IF(OR(C86="Choose mgt fee",C86="Choose One!"),"",(C79+C80+C81+C82+C83) / -(C85+C86+C87))</f>
        <v>1.2497790847856685</v>
      </c>
      <c r="D102" s="263">
        <f t="shared" si="47"/>
        <v>1.2386968040165236</v>
      </c>
      <c r="E102" s="263">
        <f t="shared" si="47"/>
        <v>1.2277047813608621</v>
      </c>
      <c r="F102" s="263">
        <f t="shared" si="47"/>
        <v>1.21680066535844</v>
      </c>
      <c r="G102" s="263">
        <f t="shared" si="47"/>
        <v>1.2059835534898633</v>
      </c>
      <c r="H102" s="263">
        <f t="shared" si="47"/>
        <v>1.1952548829165359</v>
      </c>
      <c r="I102" s="263">
        <f t="shared" si="47"/>
        <v>1.1846125433047257</v>
      </c>
      <c r="J102" s="263">
        <f t="shared" si="47"/>
        <v>1.1740567646141897</v>
      </c>
      <c r="K102" s="264">
        <f t="shared" si="47"/>
        <v>1.1635866674114601</v>
      </c>
      <c r="N102" s="3830"/>
      <c r="O102" s="3832"/>
      <c r="Z102" s="2805" t="s">
        <v>6773</v>
      </c>
      <c r="AA102" s="1788">
        <v>102</v>
      </c>
    </row>
    <row r="103" spans="1:27" ht="13.35" customHeight="1">
      <c r="A103" s="409" t="s">
        <v>2493</v>
      </c>
      <c r="B103" s="2947">
        <f>IF('Part III-Sources of Funds'!$I$40="","",-FV('Part III-Sources of Funds'!$K$40/12,12,B90/12,K72))</f>
        <v>1855839.6911937781</v>
      </c>
      <c r="C103" s="2947">
        <f>IF('Part III-Sources of Funds'!$I$40="","",-FV('Part III-Sources of Funds'!$K$40/12,12,C90/12,B103))</f>
        <v>1763605.3822302455</v>
      </c>
      <c r="D103" s="2947">
        <f>IF('Part III-Sources of Funds'!$I$40="","",-FV('Part III-Sources of Funds'!$K$40/12,12,D90/12,C103))</f>
        <v>1666410.5381096504</v>
      </c>
      <c r="E103" s="2947">
        <f>IF('Part III-Sources of Funds'!$I$40="","",-FV('Part III-Sources of Funds'!$K$40/12,12,E90/12,D103))</f>
        <v>1563988.3718920681</v>
      </c>
      <c r="F103" s="2947">
        <f>IF('Part III-Sources of Funds'!$I$40="","",-FV('Part III-Sources of Funds'!$K$40/12,12,F90/12,E103))</f>
        <v>1456057.7483325908</v>
      </c>
      <c r="G103" s="2947">
        <f>IF('Part III-Sources of Funds'!$I$40="","",-FV('Part III-Sources of Funds'!$K$40/12,12,G90/12,F103))</f>
        <v>1342322.4122024132</v>
      </c>
      <c r="H103" s="2947">
        <f>IF('Part III-Sources of Funds'!$I$40="","",-FV('Part III-Sources of Funds'!$K$40/12,12,H90/12,G103))</f>
        <v>1222470.1751075727</v>
      </c>
      <c r="I103" s="2947">
        <f>IF('Part III-Sources of Funds'!$I$40="","",-FV('Part III-Sources of Funds'!$K$40/12,12,I90/12,H103))</f>
        <v>1096172.0585732642</v>
      </c>
      <c r="J103" s="2947">
        <f>IF('Part III-Sources of Funds'!$I$40="","",-FV('Part III-Sources of Funds'!$K$40/12,12,J90/12,I103))</f>
        <v>963081.39104161586</v>
      </c>
      <c r="K103" s="2947">
        <f>IF('Part III-Sources of Funds'!$I$40="","",-FV('Part III-Sources of Funds'!$K$40/12,12,K90/12,J103))</f>
        <v>822832.85630429804</v>
      </c>
      <c r="N103" s="3830"/>
      <c r="O103" s="3832"/>
      <c r="Z103" s="2805" t="s">
        <v>6773</v>
      </c>
      <c r="AA103" s="1788">
        <v>103</v>
      </c>
    </row>
    <row r="104" spans="1:27" ht="13.35" customHeight="1">
      <c r="A104" s="409" t="s">
        <v>2494</v>
      </c>
      <c r="B104" s="2943" t="str">
        <f>IF('Part III-Sources of Funds'!$I$41="","",-FV('Part III-Sources of Funds'!$K$41/12,12,B91/12,K73))</f>
        <v/>
      </c>
      <c r="C104" s="2943" t="str">
        <f>IF('Part III-Sources of Funds'!$I$41="","",-FV('Part III-Sources of Funds'!$K$41/12,12,C91/12,B104))</f>
        <v/>
      </c>
      <c r="D104" s="2943" t="str">
        <f>IF('Part III-Sources of Funds'!$I$41="","",-FV('Part III-Sources of Funds'!$K$41/12,12,D91/12,C104))</f>
        <v/>
      </c>
      <c r="E104" s="2943" t="str">
        <f>IF('Part III-Sources of Funds'!$I$41="","",-FV('Part III-Sources of Funds'!$K$41/12,12,E91/12,D104))</f>
        <v/>
      </c>
      <c r="F104" s="2943" t="str">
        <f>IF('Part III-Sources of Funds'!$I$41="","",-FV('Part III-Sources of Funds'!$K$41/12,12,F91/12,E104))</f>
        <v/>
      </c>
      <c r="G104" s="2943" t="str">
        <f>IF('Part III-Sources of Funds'!$I$41="","",-FV('Part III-Sources of Funds'!$K$41/12,12,G91/12,F104))</f>
        <v/>
      </c>
      <c r="H104" s="2943" t="str">
        <f>IF('Part III-Sources of Funds'!$I$41="","",-FV('Part III-Sources of Funds'!$K$41/12,12,H91/12,G104))</f>
        <v/>
      </c>
      <c r="I104" s="2943" t="str">
        <f>IF('Part III-Sources of Funds'!$I$41="","",-FV('Part III-Sources of Funds'!$K$41/12,12,I91/12,H104))</f>
        <v/>
      </c>
      <c r="J104" s="2943" t="str">
        <f>IF('Part III-Sources of Funds'!$I$41="","",-FV('Part III-Sources of Funds'!$K$41/12,12,J91/12,I104))</f>
        <v/>
      </c>
      <c r="K104" s="2943" t="str">
        <f>IF('Part III-Sources of Funds'!$I$41="","",-FV('Part III-Sources of Funds'!$K$41/12,12,K91/12,J104))</f>
        <v/>
      </c>
      <c r="N104" s="3830"/>
      <c r="O104" s="3832"/>
      <c r="Z104" s="2805" t="s">
        <v>6773</v>
      </c>
      <c r="AA104" s="1788">
        <v>104</v>
      </c>
    </row>
    <row r="105" spans="1:27" ht="13.35" customHeight="1">
      <c r="A105" s="409" t="s">
        <v>2495</v>
      </c>
      <c r="B105" s="2943" t="str">
        <f>IF('Part III-Sources of Funds'!$I$42="","",-FV('Part III-Sources of Funds'!$K$42/12,12,B92/12,K74))</f>
        <v/>
      </c>
      <c r="C105" s="2943" t="str">
        <f>IF('Part III-Sources of Funds'!$I$42="","",-FV('Part III-Sources of Funds'!$K$42/12,12,C92/12,B105))</f>
        <v/>
      </c>
      <c r="D105" s="2943" t="str">
        <f>IF('Part III-Sources of Funds'!$I$42="","",-FV('Part III-Sources of Funds'!$K$42/12,12,D92/12,C105))</f>
        <v/>
      </c>
      <c r="E105" s="2943" t="str">
        <f>IF('Part III-Sources of Funds'!$I$42="","",-FV('Part III-Sources of Funds'!$K$42/12,12,E92/12,D105))</f>
        <v/>
      </c>
      <c r="F105" s="2943" t="str">
        <f>IF('Part III-Sources of Funds'!$I$42="","",-FV('Part III-Sources of Funds'!$K$42/12,12,F92/12,E105))</f>
        <v/>
      </c>
      <c r="G105" s="2943" t="str">
        <f>IF('Part III-Sources of Funds'!$I$42="","",-FV('Part III-Sources of Funds'!$K$42/12,12,G92/12,F105))</f>
        <v/>
      </c>
      <c r="H105" s="2943" t="str">
        <f>IF('Part III-Sources of Funds'!$I$42="","",-FV('Part III-Sources of Funds'!$K$42/12,12,H92/12,G105))</f>
        <v/>
      </c>
      <c r="I105" s="2943" t="str">
        <f>IF('Part III-Sources of Funds'!$I$42="","",-FV('Part III-Sources of Funds'!$K$42/12,12,I92/12,H105))</f>
        <v/>
      </c>
      <c r="J105" s="2943" t="str">
        <f>IF('Part III-Sources of Funds'!$I$42="","",-FV('Part III-Sources of Funds'!$K$42/12,12,J92/12,I105))</f>
        <v/>
      </c>
      <c r="K105" s="2943" t="str">
        <f>IF('Part III-Sources of Funds'!$I$42="","",-FV('Part III-Sources of Funds'!$K$42/12,12,K92/12,J105))</f>
        <v/>
      </c>
      <c r="N105" s="3830"/>
      <c r="O105" s="3832"/>
      <c r="Z105" s="2805" t="s">
        <v>6773</v>
      </c>
      <c r="AA105" s="1788">
        <v>105</v>
      </c>
    </row>
    <row r="106" spans="1:27" ht="13.35" customHeight="1">
      <c r="A106" s="21" t="s">
        <v>752</v>
      </c>
      <c r="B106" s="2946" t="str">
        <f>IF('Part III-Sources of Funds'!$I$43="","",-FV('Part III-Sources of Funds'!$K$43/12,12,B93/12,K75))</f>
        <v/>
      </c>
      <c r="C106" s="2946" t="str">
        <f>IF('Part III-Sources of Funds'!$I$43="","",-FV('Part III-Sources of Funds'!$K$43/12,12,C93/12,B106))</f>
        <v/>
      </c>
      <c r="D106" s="2946" t="str">
        <f>IF('Part III-Sources of Funds'!$I$43="","",-FV('Part III-Sources of Funds'!$K$43/12,12,D93/12,C106))</f>
        <v/>
      </c>
      <c r="E106" s="2946" t="str">
        <f>IF('Part III-Sources of Funds'!$I$43="","",-FV('Part III-Sources of Funds'!$K$43/12,12,E93/12,D106))</f>
        <v/>
      </c>
      <c r="F106" s="2946" t="str">
        <f>IF('Part III-Sources of Funds'!$I$43="","",-FV('Part III-Sources of Funds'!$K$43/12,12,F93/12,E106))</f>
        <v/>
      </c>
      <c r="G106" s="2946" t="str">
        <f>IF('Part III-Sources of Funds'!$I$43="","",-FV('Part III-Sources of Funds'!$K$43/12,12,G93/12,F106))</f>
        <v/>
      </c>
      <c r="H106" s="2946" t="str">
        <f>IF('Part III-Sources of Funds'!$I$43="","",-FV('Part III-Sources of Funds'!$K$43/12,12,H93/12,G106))</f>
        <v/>
      </c>
      <c r="I106" s="2946" t="str">
        <f>IF('Part III-Sources of Funds'!$I$43="","",-FV('Part III-Sources of Funds'!$K$43/12,12,I93/12,H106))</f>
        <v/>
      </c>
      <c r="J106" s="2946" t="str">
        <f>IF('Part III-Sources of Funds'!$I$43="","",-FV('Part III-Sources of Funds'!$K$43/12,12,J93/12,I106))</f>
        <v/>
      </c>
      <c r="K106" s="2946" t="str">
        <f>IF('Part III-Sources of Funds'!$I$43="","",-FV('Part III-Sources of Funds'!$K$43/12,12,K93/12,J106))</f>
        <v/>
      </c>
      <c r="N106" s="3842"/>
      <c r="O106" s="3844"/>
      <c r="Z106" s="2805"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95" t="s">
        <v>3334</v>
      </c>
      <c r="O108" s="3495"/>
      <c r="AA108" s="1788">
        <v>108</v>
      </c>
    </row>
    <row r="109" spans="1:27" ht="13.35" customHeight="1">
      <c r="A109" s="18" t="s">
        <v>2294</v>
      </c>
      <c r="B109" s="19">
        <f>$B$15*(1+$B$6)^(B108-1)</f>
        <v>1437616.6826446792</v>
      </c>
      <c r="C109" s="19">
        <f>$B$15*(1+$B$6)^(C108-1)</f>
        <v>1466369.0162975725</v>
      </c>
      <c r="D109" s="19">
        <f>$B$15*(1+$B$6)^(D108-1)</f>
        <v>1495696.3966235241</v>
      </c>
      <c r="E109" s="19">
        <f>$B$15*(1+$B$6)^(E108-1)</f>
        <v>1525610.3245559947</v>
      </c>
      <c r="F109" s="566">
        <f>$B$15*(1+$B$6)^(F108-1)</f>
        <v>1556122.5310471144</v>
      </c>
      <c r="G109" s="17"/>
      <c r="H109" s="17"/>
      <c r="I109" s="17"/>
      <c r="J109" s="17"/>
      <c r="K109" s="17"/>
      <c r="N109" s="3839"/>
      <c r="O109" s="3841"/>
      <c r="Z109" s="2805" t="s">
        <v>6774</v>
      </c>
      <c r="AA109" s="1787">
        <v>109</v>
      </c>
    </row>
    <row r="110" spans="1:27" ht="13.35" customHeight="1">
      <c r="A110" s="21" t="s">
        <v>977</v>
      </c>
      <c r="B110" s="22">
        <f>$B$16*(1+$B$6)^(B108-1)</f>
        <v>28752.333652893583</v>
      </c>
      <c r="C110" s="22">
        <f>$B$16*(1+$B$6)^(C108-1)</f>
        <v>29327.38032595145</v>
      </c>
      <c r="D110" s="22">
        <f>$B$16*(1+$B$6)^(D108-1)</f>
        <v>29913.927932470484</v>
      </c>
      <c r="E110" s="22">
        <f>$B$16*(1+$B$6)^(E108-1)</f>
        <v>30512.206491119898</v>
      </c>
      <c r="F110" s="23">
        <f>$B$16*(1+$B$6)^(F108-1)</f>
        <v>31122.450620942291</v>
      </c>
      <c r="G110" s="17"/>
      <c r="H110" s="17"/>
      <c r="I110" s="17"/>
      <c r="J110" s="17"/>
      <c r="K110" s="17"/>
      <c r="N110" s="3830"/>
      <c r="O110" s="3832"/>
      <c r="Z110" s="2805" t="s">
        <v>6774</v>
      </c>
      <c r="AA110" s="1788">
        <v>110</v>
      </c>
    </row>
    <row r="111" spans="1:27" ht="13.35" customHeight="1">
      <c r="A111" s="21" t="s">
        <v>2295</v>
      </c>
      <c r="B111" s="22">
        <f>-(B109+B110)*$B$9</f>
        <v>-102645.83114083011</v>
      </c>
      <c r="C111" s="22">
        <f>-(C109+C110)*$B$9</f>
        <v>-104698.74776364668</v>
      </c>
      <c r="D111" s="22">
        <f>-(D109+D110)*$B$9</f>
        <v>-106792.72271891964</v>
      </c>
      <c r="E111" s="22">
        <f>-(E109+E110)*$B$9</f>
        <v>-108928.57717329804</v>
      </c>
      <c r="F111" s="23">
        <f>-(F109+F110)*$B$9</f>
        <v>-111107.14871676397</v>
      </c>
      <c r="G111" s="17"/>
      <c r="H111" s="17"/>
      <c r="I111" s="17"/>
      <c r="J111" s="17"/>
      <c r="K111" s="17"/>
      <c r="N111" s="3830"/>
      <c r="O111" s="3832"/>
      <c r="Z111" s="2805"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5"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5" t="s">
        <v>6774</v>
      </c>
      <c r="AA113" s="1788">
        <v>113</v>
      </c>
    </row>
    <row r="114" spans="1:27" ht="13.35" customHeight="1">
      <c r="A114" s="409" t="s">
        <v>4013</v>
      </c>
      <c r="B114" s="22">
        <f>SUM(B109:B113)</f>
        <v>1363723.1851567426</v>
      </c>
      <c r="C114" s="22">
        <f>SUM(C109:C113)</f>
        <v>1390997.6488598771</v>
      </c>
      <c r="D114" s="22">
        <f>SUM(D109:D113)</f>
        <v>1418817.6018370751</v>
      </c>
      <c r="E114" s="22">
        <f>SUM(E109:E113)</f>
        <v>1447193.9538738166</v>
      </c>
      <c r="F114" s="23">
        <f>SUM(F109:F113)</f>
        <v>1476137.8329512926</v>
      </c>
      <c r="G114" s="17"/>
      <c r="H114" s="17"/>
      <c r="I114" s="17"/>
      <c r="J114" s="17"/>
      <c r="K114" s="17"/>
      <c r="N114" s="3830"/>
      <c r="O114" s="3832"/>
      <c r="Z114" s="2805" t="s">
        <v>6774</v>
      </c>
      <c r="AA114" s="1788">
        <v>114</v>
      </c>
    </row>
    <row r="115" spans="1:27" ht="13.35" customHeight="1">
      <c r="A115" s="21" t="s">
        <v>585</v>
      </c>
      <c r="B115" s="22">
        <f>$B$21*(1+$B$7)^(B108-1)</f>
        <v>-1029445.7047560158</v>
      </c>
      <c r="C115" s="22">
        <f>$B$21*(1+$B$7)^(C108-1)</f>
        <v>-1060329.0758986964</v>
      </c>
      <c r="D115" s="22">
        <f>$B$21*(1+$B$7)^(D108-1)</f>
        <v>-1092138.9481756571</v>
      </c>
      <c r="E115" s="22">
        <f>$B$21*(1+$B$7)^(E108-1)</f>
        <v>-1124903.1166209269</v>
      </c>
      <c r="F115" s="23">
        <f>$B$21*(1+$B$7)^(F108-1)</f>
        <v>-1158650.2101195545</v>
      </c>
      <c r="G115" s="17"/>
      <c r="H115" s="17"/>
      <c r="I115" s="17"/>
      <c r="J115" s="17"/>
      <c r="K115" s="17"/>
      <c r="N115" s="3830"/>
      <c r="O115" s="3832"/>
      <c r="Z115" s="2805"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-95461</v>
      </c>
      <c r="C116" s="22">
        <f>IF(AND('Part VII-Pro Forma'!$G$9="Yes",'Part VII-Pro Forma'!$G$10="Yes"),"Choose One!",IF('Part VII-Pro Forma'!$G$9="Yes",ROUND((-$K$9*(1+'Part VII-Pro Forma'!$B$7)^('Part VII-Pro Forma'!C108-1)),),IF('Part VII-Pro Forma'!$G$10="Yes",ROUND((-(SUM(C109:C112)*'Part VII-Pro Forma'!$K$10)),),"Choose mgt fee")))</f>
        <v>-97370</v>
      </c>
      <c r="D116" s="22">
        <f>IF(AND('Part VII-Pro Forma'!$G$9="Yes",'Part VII-Pro Forma'!$G$10="Yes"),"Choose One!",IF('Part VII-Pro Forma'!$G$9="Yes",ROUND((-$K$9*(1+'Part VII-Pro Forma'!$B$7)^('Part VII-Pro Forma'!D108-1)),),IF('Part VII-Pro Forma'!$G$10="Yes",ROUND((-(SUM(D109:D112)*'Part VII-Pro Forma'!$K$10)),),"Choose mgt fee")))</f>
        <v>-99317</v>
      </c>
      <c r="E116" s="22">
        <f>IF(AND('Part VII-Pro Forma'!$G$9="Yes",'Part VII-Pro Forma'!$G$10="Yes"),"Choose One!",IF('Part VII-Pro Forma'!$G$9="Yes",ROUND((-$K$9*(1+'Part VII-Pro Forma'!$B$7)^('Part VII-Pro Forma'!E108-1)),),IF('Part VII-Pro Forma'!$G$10="Yes",ROUND((-(SUM(E109:E112)*'Part VII-Pro Forma'!$K$10)),),"Choose mgt fee")))</f>
        <v>-101304</v>
      </c>
      <c r="F116" s="23">
        <f>IF(AND('Part VII-Pro Forma'!$G$9="Yes",'Part VII-Pro Forma'!$G$10="Yes"),"Choose One!",IF('Part VII-Pro Forma'!$G$9="Yes",ROUND((-$K$9*(1+'Part VII-Pro Forma'!$B$7)^('Part VII-Pro Forma'!F108-1)),),IF('Part VII-Pro Forma'!$G$10="Yes",ROUND((-(SUM(F109:F112)*'Part VII-Pro Forma'!$K$10)),),"Choose mgt fee")))</f>
        <v>-103330</v>
      </c>
      <c r="G116" s="17"/>
      <c r="H116" s="17"/>
      <c r="I116" s="17"/>
      <c r="J116" s="17"/>
      <c r="K116" s="17"/>
      <c r="N116" s="3830"/>
      <c r="O116" s="3832"/>
      <c r="Z116" s="2805" t="s">
        <v>6774</v>
      </c>
      <c r="AA116" s="1788">
        <v>116</v>
      </c>
    </row>
    <row r="117" spans="1:27" ht="13.35" customHeight="1">
      <c r="A117" s="21" t="s">
        <v>1156</v>
      </c>
      <c r="B117" s="22">
        <f>$B$23*(1+$B$8)^(B108-1)</f>
        <v>-57647.483690754401</v>
      </c>
      <c r="C117" s="22">
        <f>$B$23*(1+$B$8)^(C108-1)</f>
        <v>-59376.908201477047</v>
      </c>
      <c r="D117" s="22">
        <f>$B$23*(1+$B$8)^(D108-1)</f>
        <v>-61158.215447521347</v>
      </c>
      <c r="E117" s="22">
        <f>$B$23*(1+$B$8)^(E108-1)</f>
        <v>-62992.961910946986</v>
      </c>
      <c r="F117" s="23">
        <f>$B$23*(1+$B$8)^(F108-1)</f>
        <v>-64882.750768275386</v>
      </c>
      <c r="G117" s="17"/>
      <c r="H117" s="17"/>
      <c r="I117" s="17"/>
      <c r="J117" s="17"/>
      <c r="K117" s="17"/>
      <c r="N117" s="3830"/>
      <c r="O117" s="3832"/>
      <c r="Q117" s="847">
        <v>10</v>
      </c>
      <c r="R117" s="945">
        <f>-SUM(B123:K123)</f>
        <v>0</v>
      </c>
      <c r="S117" s="945">
        <f>SUM(B124:K124)+R117</f>
        <v>0</v>
      </c>
      <c r="Z117" s="2805" t="s">
        <v>6774</v>
      </c>
      <c r="AA117" s="1788">
        <v>117</v>
      </c>
    </row>
    <row r="118" spans="1:27" ht="13.35" customHeight="1">
      <c r="A118" s="409" t="s">
        <v>4012</v>
      </c>
      <c r="B118" s="2941">
        <f>IF(B108&lt;=+'Part VI-Revenues &amp; Expenses'!$N$248,-'Part VI-Revenues &amp; Expenses'!$K$248,0)</f>
        <v>0</v>
      </c>
      <c r="C118" s="2941">
        <f>IF(C108&lt;=+'Part VI-Revenues &amp; Expenses'!$N$248,-'Part VI-Revenues &amp; Expenses'!$K$248,0)</f>
        <v>0</v>
      </c>
      <c r="D118" s="2941">
        <f>IF(D108&lt;=+'Part VI-Revenues &amp; Expenses'!$N$248,-'Part VI-Revenues &amp; Expenses'!$K$248,0)</f>
        <v>0</v>
      </c>
      <c r="E118" s="2941">
        <f>IF(E108&lt;=+'Part VI-Revenues &amp; Expenses'!$N$248,-'Part VI-Revenues &amp; Expenses'!$K$248,0)</f>
        <v>0</v>
      </c>
      <c r="F118" s="2941">
        <f>IF(F108&lt;=+'Part VI-Revenues &amp; Expenses'!$N$248,-'Part VI-Revenues &amp; Expenses'!$K$248,0)</f>
        <v>0</v>
      </c>
      <c r="G118" s="17"/>
      <c r="H118" s="17"/>
      <c r="I118" s="17"/>
      <c r="J118" s="17"/>
      <c r="K118" s="17"/>
      <c r="N118" s="3830"/>
      <c r="O118" s="3832"/>
      <c r="Z118" s="2805" t="s">
        <v>6774</v>
      </c>
      <c r="AA118" s="1787">
        <v>118</v>
      </c>
    </row>
    <row r="119" spans="1:27" ht="13.35" customHeight="1">
      <c r="A119" s="21" t="s">
        <v>1157</v>
      </c>
      <c r="B119" s="22">
        <f>SUM(B114:B118)</f>
        <v>181168.99670997239</v>
      </c>
      <c r="C119" s="22">
        <f>SUM(C114:C118)</f>
        <v>173921.66475970365</v>
      </c>
      <c r="D119" s="22">
        <f>SUM(D114:D118)</f>
        <v>166203.43821389665</v>
      </c>
      <c r="E119" s="22">
        <f>SUM(E114:E118)</f>
        <v>157993.87534194277</v>
      </c>
      <c r="F119" s="1299">
        <f>SUM(F114:F118)</f>
        <v>149274.87206346271</v>
      </c>
      <c r="G119" s="17"/>
      <c r="H119" s="17"/>
      <c r="I119" s="17"/>
      <c r="J119" s="17"/>
      <c r="K119" s="17"/>
      <c r="N119" s="3830"/>
      <c r="O119" s="3832"/>
      <c r="Z119" s="2805" t="s">
        <v>6774</v>
      </c>
      <c r="AA119" s="1788">
        <v>119</v>
      </c>
    </row>
    <row r="120" spans="1:27" ht="13.35" customHeight="1">
      <c r="A120" s="21" t="str">
        <f>$A90</f>
        <v>Mortgage A</v>
      </c>
      <c r="B120" s="2942">
        <f>IF('Part III-Sources of Funds'!$P$40="", 0,-'Part III-Sources of Funds'!$P$40)</f>
        <v>-187467.49578763059</v>
      </c>
      <c r="C120" s="2942">
        <f>IF('Part III-Sources of Funds'!$P$40="", 0,-'Part III-Sources of Funds'!$P$40)</f>
        <v>-187467.49578763059</v>
      </c>
      <c r="D120" s="2942">
        <f>IF('Part III-Sources of Funds'!$P$40="", 0,-'Part III-Sources of Funds'!$P$40)</f>
        <v>-187467.49578763059</v>
      </c>
      <c r="E120" s="2942">
        <f>IF('Part III-Sources of Funds'!$P$40="", 0,-'Part III-Sources of Funds'!$P$40)</f>
        <v>-187467.49578763059</v>
      </c>
      <c r="F120" s="2942">
        <f>IF('Part III-Sources of Funds'!$P$40="", 0,-'Part III-Sources of Funds'!$P$40)</f>
        <v>-187467.49578763059</v>
      </c>
      <c r="G120" s="17"/>
      <c r="H120" s="17"/>
      <c r="I120" s="17"/>
      <c r="J120" s="17"/>
      <c r="K120" s="17"/>
      <c r="N120" s="3830"/>
      <c r="O120" s="3832"/>
      <c r="Z120" s="2805" t="s">
        <v>6774</v>
      </c>
      <c r="AA120" s="1788">
        <v>120</v>
      </c>
    </row>
    <row r="121" spans="1:27" ht="13.35" customHeight="1">
      <c r="A121" s="21" t="str">
        <f>$A91</f>
        <v>Mortgage B</v>
      </c>
      <c r="B121" s="2943">
        <f>IF('Part III-Sources of Funds'!$P$41="", 0,-'Part III-Sources of Funds'!$P$41)</f>
        <v>0</v>
      </c>
      <c r="C121" s="2943">
        <f>IF('Part III-Sources of Funds'!$P$41="", 0,-'Part III-Sources of Funds'!$P$41)</f>
        <v>0</v>
      </c>
      <c r="D121" s="2943">
        <f>IF('Part III-Sources of Funds'!$P$41="", 0,-'Part III-Sources of Funds'!$P$41)</f>
        <v>0</v>
      </c>
      <c r="E121" s="2943">
        <f>IF('Part III-Sources of Funds'!$P$41="", 0,-'Part III-Sources of Funds'!$P$41)</f>
        <v>0</v>
      </c>
      <c r="F121" s="2943">
        <f>IF('Part III-Sources of Funds'!$P$41="", 0,-'Part III-Sources of Funds'!$P$41)</f>
        <v>0</v>
      </c>
      <c r="G121" s="17"/>
      <c r="H121" s="17"/>
      <c r="I121" s="17"/>
      <c r="J121" s="17"/>
      <c r="K121" s="17"/>
      <c r="N121" s="3830"/>
      <c r="O121" s="3832"/>
      <c r="Z121" s="2805" t="s">
        <v>6774</v>
      </c>
      <c r="AA121" s="1788">
        <v>121</v>
      </c>
    </row>
    <row r="122" spans="1:27" ht="13.35" customHeight="1">
      <c r="A122" s="21" t="str">
        <f>$A92</f>
        <v>Mortgage C</v>
      </c>
      <c r="B122" s="2943">
        <f>IF('Part III-Sources of Funds'!$P$42="", 0,-'Part III-Sources of Funds'!$P$42)</f>
        <v>0</v>
      </c>
      <c r="C122" s="2943">
        <f>IF('Part III-Sources of Funds'!$P$42="", 0,-'Part III-Sources of Funds'!$P$42)</f>
        <v>0</v>
      </c>
      <c r="D122" s="2943">
        <f>IF('Part III-Sources of Funds'!$P$42="", 0,-'Part III-Sources of Funds'!$P$42)</f>
        <v>0</v>
      </c>
      <c r="E122" s="2943">
        <f>IF('Part III-Sources of Funds'!$P$42="", 0,-'Part III-Sources of Funds'!$P$42)</f>
        <v>0</v>
      </c>
      <c r="F122" s="2943">
        <f>IF('Part III-Sources of Funds'!$P$42="", 0,-'Part III-Sources of Funds'!$P$42)</f>
        <v>0</v>
      </c>
      <c r="G122" s="17"/>
      <c r="H122" s="17"/>
      <c r="I122" s="17"/>
      <c r="J122" s="17"/>
      <c r="K122" s="17"/>
      <c r="N122" s="3830"/>
      <c r="O122" s="3832"/>
      <c r="Z122" s="2805" t="s">
        <v>6774</v>
      </c>
      <c r="AA122" s="1788">
        <v>122</v>
      </c>
    </row>
    <row r="123" spans="1:27" ht="13.35" customHeight="1">
      <c r="A123" s="21" t="str">
        <f>$A93</f>
        <v>D/S Other Source,not DDF</v>
      </c>
      <c r="B123" s="2943">
        <f>IF('Part III-Sources of Funds'!$P$43="", 0,-'Part III-Sources of Funds'!$P$43)</f>
        <v>0</v>
      </c>
      <c r="C123" s="2943">
        <f>IF('Part III-Sources of Funds'!$P$43="", 0,-'Part III-Sources of Funds'!$P$43)</f>
        <v>0</v>
      </c>
      <c r="D123" s="2943">
        <f>IF('Part III-Sources of Funds'!$P$43="", 0,-'Part III-Sources of Funds'!$P$43)</f>
        <v>0</v>
      </c>
      <c r="E123" s="2943">
        <f>IF('Part III-Sources of Funds'!$P$43="", 0,-'Part III-Sources of Funds'!$P$43)</f>
        <v>0</v>
      </c>
      <c r="F123" s="2943">
        <f>IF('Part III-Sources of Funds'!$P$43="", 0,-'Part III-Sources of Funds'!$P$43)</f>
        <v>0</v>
      </c>
      <c r="G123" s="17"/>
      <c r="H123" s="17"/>
      <c r="I123" s="17"/>
      <c r="J123" s="17"/>
      <c r="K123" s="17"/>
      <c r="N123" s="3830"/>
      <c r="O123" s="3832"/>
      <c r="Z123" s="2805" t="s">
        <v>6774</v>
      </c>
      <c r="AA123" s="1787">
        <v>123</v>
      </c>
    </row>
    <row r="124" spans="1:27" ht="13.35" customHeight="1">
      <c r="A124" s="21" t="s">
        <v>733</v>
      </c>
      <c r="B124" s="2944"/>
      <c r="C124" s="2944"/>
      <c r="D124" s="2944"/>
      <c r="E124" s="2944"/>
      <c r="F124" s="2944"/>
      <c r="G124" s="17"/>
      <c r="H124" s="17"/>
      <c r="I124" s="17"/>
      <c r="J124" s="17"/>
      <c r="K124" s="17"/>
      <c r="N124" s="3830"/>
      <c r="O124" s="3832"/>
      <c r="Z124" s="2805" t="s">
        <v>6774</v>
      </c>
      <c r="AA124" s="1788">
        <v>124</v>
      </c>
    </row>
    <row r="125" spans="1:27" ht="13.35" customHeight="1">
      <c r="A125" s="21" t="s">
        <v>1121</v>
      </c>
      <c r="B125" s="2946">
        <f>+K95</f>
        <v>0</v>
      </c>
      <c r="C125" s="2946">
        <f>+B125</f>
        <v>0</v>
      </c>
      <c r="D125" s="2946">
        <f>+C125</f>
        <v>0</v>
      </c>
      <c r="E125" s="2946">
        <f>+D125</f>
        <v>0</v>
      </c>
      <c r="F125" s="2946">
        <f>+E125</f>
        <v>0</v>
      </c>
      <c r="G125" s="17"/>
      <c r="H125" s="17"/>
      <c r="I125" s="17"/>
      <c r="J125" s="17"/>
      <c r="K125" s="17"/>
      <c r="N125" s="3830"/>
      <c r="O125" s="3832"/>
      <c r="Z125" s="2805" t="s">
        <v>6774</v>
      </c>
      <c r="AA125" s="1788">
        <v>125</v>
      </c>
    </row>
    <row r="126" spans="1:27" ht="13.35" customHeight="1">
      <c r="A126" s="21" t="s">
        <v>1122</v>
      </c>
      <c r="B126" s="22">
        <f>SUM(B119:B125)</f>
        <v>-6298.4990776581981</v>
      </c>
      <c r="C126" s="22">
        <f>SUM(C119:C125)</f>
        <v>-13545.831027926935</v>
      </c>
      <c r="D126" s="22">
        <f>SUM(D119:D125)</f>
        <v>-21264.057573733939</v>
      </c>
      <c r="E126" s="22">
        <f>SUM(E119:E125)</f>
        <v>-29473.620445687819</v>
      </c>
      <c r="F126" s="23">
        <f>SUM(F119:F125)</f>
        <v>-38192.623724167875</v>
      </c>
      <c r="G126" s="17"/>
      <c r="H126" s="17"/>
      <c r="I126" s="17"/>
      <c r="J126" s="17"/>
      <c r="K126" s="17"/>
      <c r="N126" s="3830"/>
      <c r="O126" s="3832"/>
      <c r="Z126" s="2805" t="s">
        <v>6774</v>
      </c>
      <c r="AA126" s="1788">
        <v>126</v>
      </c>
    </row>
    <row r="127" spans="1:27" ht="13.35" customHeight="1">
      <c r="A127" s="21" t="str">
        <f>$A97</f>
        <v>DCR Mortgage A</v>
      </c>
      <c r="B127" s="24">
        <f>IF(B120=0,"",-B119/B120)</f>
        <v>0.96640218054230931</v>
      </c>
      <c r="C127" s="24">
        <f>IF(C120=0,"",-C119/C120)</f>
        <v>0.92774304168829302</v>
      </c>
      <c r="D127" s="24">
        <f>IF(D120=0,"",-D119/D120)</f>
        <v>0.88657202954360381</v>
      </c>
      <c r="E127" s="24">
        <f>IF(E120=0,"",-E119/E120)</f>
        <v>0.84278010264202541</v>
      </c>
      <c r="F127" s="25">
        <f>IF(F120=0,"",-F119/F120)</f>
        <v>0.79627068914691346</v>
      </c>
      <c r="G127" s="17"/>
      <c r="H127" s="17"/>
      <c r="I127" s="17"/>
      <c r="J127" s="17"/>
      <c r="K127" s="17"/>
      <c r="N127" s="3830"/>
      <c r="O127" s="3832"/>
      <c r="Z127" s="2805"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5"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5"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5" t="s">
        <v>6774</v>
      </c>
      <c r="AA130" s="1788">
        <v>130</v>
      </c>
    </row>
    <row r="131" spans="1:27" ht="13.35" customHeight="1">
      <c r="A131" s="409" t="s">
        <v>3343</v>
      </c>
      <c r="B131" s="24">
        <f>IF(AND(B120=0,B121=0,B122=0,B123=0),"",-B119/(B120+B121+B122+B123))</f>
        <v>0.96640218054230931</v>
      </c>
      <c r="C131" s="24">
        <f>IF(AND(C120=0,C121=0,C122=0,C123=0),"",-C119/(C120+C121+C122+C123))</f>
        <v>0.92774304168829302</v>
      </c>
      <c r="D131" s="24">
        <f>IF(AND(D120=0,D121=0,D122=0,D123=0),"",-D119/(D120+D121+D122+D123))</f>
        <v>0.88657202954360381</v>
      </c>
      <c r="E131" s="24">
        <f>IF(AND(E120=0,E121=0,E122=0,E123=0),"",-E119/(E120+E121+E122+E123))</f>
        <v>0.84278010264202541</v>
      </c>
      <c r="F131" s="25">
        <f>IF(AND(F120=0,F121=0,F122=0,F123=0),"",-F119/(F120+F121+F122+F123))</f>
        <v>0.79627068914691346</v>
      </c>
      <c r="G131" s="17"/>
      <c r="H131" s="17"/>
      <c r="I131" s="17"/>
      <c r="J131" s="17"/>
      <c r="K131" s="17"/>
      <c r="N131" s="3830"/>
      <c r="O131" s="3832"/>
      <c r="Z131" s="2805" t="s">
        <v>6774</v>
      </c>
      <c r="AA131" s="1788">
        <v>131</v>
      </c>
    </row>
    <row r="132" spans="1:27" ht="13.35" customHeight="1">
      <c r="A132" s="21" t="s">
        <v>740</v>
      </c>
      <c r="B132" s="263">
        <f>IF(OR(B116="Choose mgt fee",B116="Choose One!"),"",(B109+B110+B111+B112+B113) / -(B115+B116+B117))</f>
        <v>1.1532014333718856</v>
      </c>
      <c r="C132" s="263">
        <f>IF(OR(C116="Choose mgt fee",C116="Choose One!"),"",(C109+C110+C111+C112+C113) / -(C115+C116+C117))</f>
        <v>1.142901237911033</v>
      </c>
      <c r="D132" s="263">
        <f>IF(OR(D116="Choose mgt fee",D116="Choose One!"),"",(D109+D110+D111+D112+D113) / -(D115+D116+D117))</f>
        <v>1.1326852617833685</v>
      </c>
      <c r="E132" s="263">
        <f>IF(OR(E116="Choose mgt fee",E116="Choose One!"),"",(E109+E110+E111+E112+E113) / -(E115+E116+E117))</f>
        <v>1.1225518660546967</v>
      </c>
      <c r="F132" s="567">
        <f>IF(OR(F116="Choose mgt fee",F116="Choose One!"),"",(F109+F110+F111+F112+F113) / -(F115+F116+F117))</f>
        <v>1.112502101922854</v>
      </c>
      <c r="G132" s="17"/>
      <c r="H132" s="17"/>
      <c r="I132" s="17"/>
      <c r="J132" s="17"/>
      <c r="K132" s="17"/>
      <c r="N132" s="3830"/>
      <c r="O132" s="3832"/>
      <c r="Z132" s="2805" t="s">
        <v>6774</v>
      </c>
      <c r="AA132" s="1787">
        <v>132</v>
      </c>
    </row>
    <row r="133" spans="1:27" ht="13.35" customHeight="1">
      <c r="A133" s="409" t="s">
        <v>2493</v>
      </c>
      <c r="B133" s="2947">
        <f>IF('Part III-Sources of Funds'!$I$40="","",-FV('Part III-Sources of Funds'!$K$40/12,12,B120/12,K103))</f>
        <v>675041.49075804534</v>
      </c>
      <c r="C133" s="2947">
        <f>IF('Part III-Sources of Funds'!$I$40="","",-FV('Part III-Sources of Funds'!$K$40/12,12,C120/12,B133))</f>
        <v>519301.6267306871</v>
      </c>
      <c r="D133" s="2947">
        <f>IF('Part III-Sources of Funds'!$I$40="","",-FV('Part III-Sources of Funds'!$K$40/12,12,D120/12,C133))</f>
        <v>355185.77897725906</v>
      </c>
      <c r="E133" s="2947">
        <f>IF('Part III-Sources of Funds'!$I$40="","",-FV('Part III-Sources of Funds'!$K$40/12,12,E120/12,D133))</f>
        <v>182243.47128977475</v>
      </c>
      <c r="F133" s="2947">
        <f>IF('Part III-Sources of Funds'!$I$40="","",-FV('Part III-Sources of Funds'!$K$40/12,12,F120/12,E133))</f>
        <v>-1.4374381862580776E-7</v>
      </c>
      <c r="G133" s="17"/>
      <c r="H133" s="17"/>
      <c r="I133" s="17"/>
      <c r="J133" s="17"/>
      <c r="K133" s="17"/>
      <c r="N133" s="3830"/>
      <c r="O133" s="3832"/>
      <c r="Z133" s="2805" t="s">
        <v>6774</v>
      </c>
      <c r="AA133" s="1788">
        <v>133</v>
      </c>
    </row>
    <row r="134" spans="1:27" ht="13.35" customHeight="1">
      <c r="A134" s="409" t="s">
        <v>2494</v>
      </c>
      <c r="B134" s="2943" t="str">
        <f>IF('Part III-Sources of Funds'!$I$41="","",-FV('Part III-Sources of Funds'!$K$41/12,12,B121/12,K104))</f>
        <v/>
      </c>
      <c r="C134" s="2943" t="str">
        <f>IF('Part III-Sources of Funds'!$I$41="","",-FV('Part III-Sources of Funds'!$K$41/12,12,C121/12,B134))</f>
        <v/>
      </c>
      <c r="D134" s="2943" t="str">
        <f>IF('Part III-Sources of Funds'!$I$41="","",-FV('Part III-Sources of Funds'!$K$41/12,12,D121/12,C134))</f>
        <v/>
      </c>
      <c r="E134" s="2943" t="str">
        <f>IF('Part III-Sources of Funds'!$I$41="","",-FV('Part III-Sources of Funds'!$K$41/12,12,E121/12,D134))</f>
        <v/>
      </c>
      <c r="F134" s="2943" t="str">
        <f>IF('Part III-Sources of Funds'!$I$41="","",-FV('Part III-Sources of Funds'!$K$41/12,12,F121/12,E134))</f>
        <v/>
      </c>
      <c r="G134" s="17"/>
      <c r="H134" s="17"/>
      <c r="I134" s="17"/>
      <c r="J134" s="17"/>
      <c r="K134" s="17"/>
      <c r="N134" s="3830"/>
      <c r="O134" s="3832"/>
      <c r="Z134" s="2805" t="s">
        <v>6774</v>
      </c>
      <c r="AA134" s="1788">
        <v>134</v>
      </c>
    </row>
    <row r="135" spans="1:27" ht="13.35" customHeight="1">
      <c r="A135" s="409" t="s">
        <v>2495</v>
      </c>
      <c r="B135" s="2943" t="str">
        <f>IF('Part III-Sources of Funds'!$I$42="","",-FV('Part III-Sources of Funds'!$K$42/12,12,B122/12,K105))</f>
        <v/>
      </c>
      <c r="C135" s="2943" t="str">
        <f>IF('Part III-Sources of Funds'!$I$42="","",-FV('Part III-Sources of Funds'!$K$42/12,12,C122/12,B135))</f>
        <v/>
      </c>
      <c r="D135" s="2943" t="str">
        <f>IF('Part III-Sources of Funds'!$I$42="","",-FV('Part III-Sources of Funds'!$K$42/12,12,D122/12,C135))</f>
        <v/>
      </c>
      <c r="E135" s="2943" t="str">
        <f>IF('Part III-Sources of Funds'!$I$42="","",-FV('Part III-Sources of Funds'!$K$42/12,12,E122/12,D135))</f>
        <v/>
      </c>
      <c r="F135" s="2943" t="str">
        <f>IF('Part III-Sources of Funds'!$I$42="","",-FV('Part III-Sources of Funds'!$K$42/12,12,F122/12,E135))</f>
        <v/>
      </c>
      <c r="G135" s="17"/>
      <c r="H135" s="17"/>
      <c r="I135" s="17"/>
      <c r="J135" s="17"/>
      <c r="K135" s="17"/>
      <c r="N135" s="3830"/>
      <c r="O135" s="3832"/>
      <c r="Z135" s="2805" t="s">
        <v>6774</v>
      </c>
      <c r="AA135" s="1788">
        <v>135</v>
      </c>
    </row>
    <row r="136" spans="1:27" ht="13.35" customHeight="1">
      <c r="A136" s="26" t="s">
        <v>752</v>
      </c>
      <c r="B136" s="2946" t="str">
        <f>IF('Part III-Sources of Funds'!$I$43="","",-FV('Part III-Sources of Funds'!$K$43/12,12,B123/12,K106))</f>
        <v/>
      </c>
      <c r="C136" s="2946" t="str">
        <f>IF('Part III-Sources of Funds'!$I$43="","",-FV('Part III-Sources of Funds'!$K$43/12,12,C123/12,B136))</f>
        <v/>
      </c>
      <c r="D136" s="2946" t="str">
        <f>IF('Part III-Sources of Funds'!$I$43="","",-FV('Part III-Sources of Funds'!$K$43/12,12,D123/12,C136))</f>
        <v/>
      </c>
      <c r="E136" s="2946" t="str">
        <f>IF('Part III-Sources of Funds'!$I$43="","",-FV('Part III-Sources of Funds'!$K$43/12,12,E123/12,D136))</f>
        <v/>
      </c>
      <c r="F136" s="2946" t="str">
        <f>IF('Part III-Sources of Funds'!$I$43="","",-FV('Part III-Sources of Funds'!$K$43/12,12,F123/12,E136))</f>
        <v/>
      </c>
      <c r="G136" s="17"/>
      <c r="H136" s="17"/>
      <c r="I136" s="17"/>
      <c r="J136" s="17"/>
      <c r="K136" s="17"/>
      <c r="N136" s="3842"/>
      <c r="O136" s="3844"/>
      <c r="Z136" s="2805"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7010</v>
      </c>
      <c r="B140" s="3944"/>
      <c r="C140" s="3944"/>
      <c r="D140" s="3944"/>
      <c r="E140" s="3944"/>
      <c r="F140" s="3945"/>
      <c r="G140" s="3946"/>
      <c r="H140" s="3947"/>
      <c r="I140" s="3947"/>
      <c r="J140" s="3947"/>
      <c r="K140" s="3948"/>
      <c r="N140" s="3594" t="s">
        <v>2542</v>
      </c>
      <c r="O140" s="359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8"/>
      <c r="AA145" s="1789"/>
    </row>
    <row r="146" spans="12:27" s="1" customFormat="1" ht="12" customHeight="1">
      <c r="L146" s="8"/>
      <c r="M146" s="8"/>
      <c r="N146" s="8"/>
      <c r="O146" s="8"/>
      <c r="Z146" s="2848"/>
      <c r="AA146" s="1789"/>
    </row>
    <row r="147" spans="12:27" s="1" customFormat="1" ht="12" customHeight="1">
      <c r="L147" s="8"/>
      <c r="M147" s="8"/>
      <c r="N147" s="8"/>
      <c r="O147" s="8"/>
      <c r="Q147" s="8"/>
      <c r="R147" s="8"/>
      <c r="Z147" s="2848"/>
      <c r="AA147" s="1789"/>
    </row>
    <row r="148" spans="12:27" s="1" customFormat="1" ht="12" customHeight="1">
      <c r="L148" s="8"/>
      <c r="M148" s="8"/>
      <c r="N148" s="8"/>
      <c r="O148" s="8"/>
      <c r="S148" s="8"/>
      <c r="Z148" s="2848"/>
      <c r="AA148" s="1789"/>
    </row>
    <row r="149" spans="12:27" ht="12" customHeight="1">
      <c r="Q149" s="1"/>
      <c r="R149" s="1"/>
      <c r="S149" s="1"/>
    </row>
    <row r="150" spans="12:27" s="1" customFormat="1" ht="12" customHeight="1">
      <c r="L150" s="8"/>
      <c r="M150" s="8"/>
      <c r="N150" s="8"/>
      <c r="O150" s="8"/>
      <c r="Q150" s="8"/>
      <c r="R150" s="8"/>
      <c r="Z150" s="2848"/>
      <c r="AA150" s="1789"/>
    </row>
    <row r="151" spans="12:27" s="1" customFormat="1" ht="12" customHeight="1">
      <c r="L151" s="8"/>
      <c r="M151" s="8"/>
      <c r="N151" s="8"/>
      <c r="O151" s="8"/>
      <c r="S151" s="8"/>
      <c r="Z151" s="2848"/>
      <c r="AA151" s="1789"/>
    </row>
    <row r="152" spans="12:27" ht="12" customHeight="1">
      <c r="Q152" s="1"/>
      <c r="R152" s="1"/>
      <c r="S152" s="1"/>
    </row>
    <row r="153" spans="12:27" s="1" customFormat="1" ht="12" customHeight="1">
      <c r="L153" s="8"/>
      <c r="M153" s="8"/>
      <c r="N153" s="8"/>
      <c r="O153" s="8"/>
      <c r="Z153" s="2848"/>
      <c r="AA153" s="1789"/>
    </row>
    <row r="154" spans="12:27" s="1" customFormat="1" ht="12" customHeight="1">
      <c r="L154" s="8"/>
      <c r="M154" s="8"/>
      <c r="N154" s="8"/>
      <c r="O154" s="8"/>
      <c r="Z154" s="2848"/>
      <c r="AA154" s="1789"/>
    </row>
    <row r="155" spans="12:27" s="1" customFormat="1" ht="12" customHeight="1">
      <c r="L155" s="8"/>
      <c r="M155" s="8"/>
      <c r="N155" s="8"/>
      <c r="O155" s="8"/>
      <c r="Z155" s="2848"/>
      <c r="AA155" s="1789"/>
    </row>
    <row r="156" spans="12:27" s="1" customFormat="1" ht="12" customHeight="1">
      <c r="L156" s="8"/>
      <c r="M156" s="8"/>
      <c r="N156" s="8"/>
      <c r="O156" s="8"/>
      <c r="Z156" s="2848"/>
      <c r="AA156" s="1789"/>
    </row>
    <row r="157" spans="12:27" s="1" customFormat="1" ht="12" customHeight="1">
      <c r="L157" s="8"/>
      <c r="M157" s="8"/>
      <c r="N157" s="8"/>
      <c r="O157" s="8"/>
      <c r="Z157" s="2848"/>
      <c r="AA157" s="1789"/>
    </row>
    <row r="158" spans="12:27" s="1" customFormat="1" ht="12" customHeight="1">
      <c r="L158" s="8"/>
      <c r="M158" s="8"/>
      <c r="N158" s="8"/>
      <c r="O158" s="8"/>
      <c r="Q158" s="8"/>
      <c r="R158" s="8"/>
      <c r="Z158" s="2848"/>
      <c r="AA158" s="1789"/>
    </row>
    <row r="159" spans="12:27" s="1" customFormat="1" ht="12" customHeight="1">
      <c r="L159" s="8"/>
      <c r="M159" s="8"/>
      <c r="N159" s="8"/>
      <c r="O159" s="8"/>
      <c r="S159" s="8"/>
      <c r="Z159" s="2848"/>
      <c r="AA159" s="1789"/>
    </row>
    <row r="160" spans="12:27" ht="12" customHeight="1">
      <c r="Q160" s="1"/>
      <c r="R160" s="1"/>
      <c r="S160" s="1"/>
    </row>
    <row r="161" spans="12:27" s="1" customFormat="1" ht="12" customHeight="1">
      <c r="L161" s="8"/>
      <c r="M161" s="8"/>
      <c r="N161" s="8"/>
      <c r="O161" s="8"/>
      <c r="Z161" s="2848"/>
      <c r="AA161" s="1789"/>
    </row>
    <row r="162" spans="12:27" s="1" customFormat="1" ht="12" customHeight="1">
      <c r="L162" s="8"/>
      <c r="M162" s="8"/>
      <c r="N162" s="8"/>
      <c r="O162" s="8"/>
      <c r="Z162" s="2848"/>
      <c r="AA162" s="1789"/>
    </row>
    <row r="163" spans="12:27" s="1" customFormat="1" ht="12" customHeight="1">
      <c r="L163" s="8"/>
      <c r="M163" s="8"/>
      <c r="N163" s="8"/>
      <c r="O163" s="8"/>
      <c r="Z163" s="2848"/>
      <c r="AA163" s="1789"/>
    </row>
    <row r="164" spans="12:27" s="1" customFormat="1" ht="12" customHeight="1">
      <c r="L164" s="8"/>
      <c r="M164" s="8"/>
      <c r="N164" s="8"/>
      <c r="O164" s="8"/>
      <c r="Z164" s="2848"/>
      <c r="AA164" s="1789"/>
    </row>
    <row r="165" spans="12:27" s="1" customFormat="1" ht="12" customHeight="1">
      <c r="L165" s="8"/>
      <c r="M165" s="8"/>
      <c r="N165" s="8"/>
      <c r="O165" s="8"/>
      <c r="Z165" s="2848"/>
      <c r="AA165" s="1789"/>
    </row>
    <row r="166" spans="12:27" s="1" customFormat="1" ht="12" customHeight="1">
      <c r="L166" s="8"/>
      <c r="M166" s="8"/>
      <c r="N166" s="8"/>
      <c r="O166" s="8"/>
      <c r="Z166" s="2848"/>
      <c r="AA166" s="1789"/>
    </row>
    <row r="167" spans="12:27" s="1" customFormat="1" ht="12" customHeight="1">
      <c r="L167" s="8"/>
      <c r="M167" s="8"/>
      <c r="N167" s="8"/>
      <c r="O167" s="8"/>
      <c r="Z167" s="2848"/>
      <c r="AA167" s="1789"/>
    </row>
    <row r="168" spans="12:27" s="1" customFormat="1" ht="12" customHeight="1">
      <c r="L168" s="8"/>
      <c r="M168" s="8"/>
      <c r="N168" s="8"/>
      <c r="O168" s="8"/>
      <c r="Z168" s="2848"/>
      <c r="AA168" s="1789"/>
    </row>
    <row r="169" spans="12:27" s="1" customFormat="1" ht="12" customHeight="1">
      <c r="L169" s="8"/>
      <c r="M169" s="8"/>
      <c r="N169" s="8"/>
      <c r="O169" s="8"/>
      <c r="Z169" s="2848"/>
      <c r="AA169" s="1789"/>
    </row>
    <row r="170" spans="12:27" s="1" customFormat="1" ht="12" customHeight="1">
      <c r="L170" s="8"/>
      <c r="M170" s="8"/>
      <c r="N170" s="8"/>
      <c r="O170" s="8"/>
      <c r="Q170" s="8"/>
      <c r="R170" s="8"/>
      <c r="Z170" s="2848"/>
      <c r="AA170" s="1789"/>
    </row>
    <row r="171" spans="12:27" s="1" customFormat="1" ht="12" customHeight="1">
      <c r="L171" s="8"/>
      <c r="M171" s="8"/>
      <c r="N171" s="8"/>
      <c r="O171" s="8"/>
      <c r="Q171" s="8"/>
      <c r="R171" s="8"/>
      <c r="S171" s="8"/>
      <c r="Z171" s="2848"/>
      <c r="AA171" s="1789"/>
    </row>
    <row r="172" spans="12:27" ht="12" customHeight="1"/>
    <row r="173" spans="12:27" ht="12" customHeight="1"/>
    <row r="174" spans="12:27" ht="12" customHeight="1"/>
    <row r="175" spans="12:27" ht="12" customHeight="1"/>
  </sheetData>
  <sheetProtection algorithmName="SHA-512" hashValue="G+sYk7kWKpRa/y6B/sdlMd4rgxITVUCWkXSQFZnkYulWS9OyraO3u0QhB2zhQ4GkJ04VeyCkEDEGs8pNzqsBOQ==" saltValue="p9RlsIW6OPyCjAbU1lDNY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J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110" zoomScaleNormal="11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473" t="str">
        <f>CONCATENATE("PART EIGHT - THRESHOLD CRITERIA","  -  ",'Part I-Project Information'!$O$7," ",'Part I-Project Information'!$F$35,", ",'Part I-Project Information'!F39,", ",'Part I-Project Information'!J40," County")</f>
        <v>PART EIGHT - THRESHOLD CRITERIA  -  2021-018 Roswell Redevelopment Phase I, Roswell, Fulton County</v>
      </c>
      <c r="B1" s="3474"/>
      <c r="C1" s="3474"/>
      <c r="D1" s="3474"/>
      <c r="E1" s="3474"/>
      <c r="F1" s="3474"/>
      <c r="G1" s="3474"/>
      <c r="H1" s="3474"/>
      <c r="I1" s="3474"/>
      <c r="J1" s="3474"/>
      <c r="K1" s="3474"/>
      <c r="L1" s="3474"/>
      <c r="M1" s="3474"/>
      <c r="N1" s="3474"/>
      <c r="O1" s="3474"/>
      <c r="P1" s="3474"/>
      <c r="Q1" s="3474"/>
      <c r="R1" s="4061" t="str">
        <f>'Part I-Project Information'!$B$7</f>
        <v>2021 Core App
May 10 Rev</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48"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3416</v>
      </c>
      <c r="K6" s="4091"/>
      <c r="L6" s="4091"/>
      <c r="M6" s="4091"/>
      <c r="N6" s="4091"/>
      <c r="O6" s="4092"/>
      <c r="P6" s="4089"/>
      <c r="Q6" s="4090"/>
      <c r="R6" s="4061"/>
      <c r="S6" s="4061"/>
    </row>
    <row r="7" spans="1:32" ht="12.6" customHeight="1">
      <c r="A7" s="125" t="s">
        <v>3187</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0"/>
    </row>
    <row r="9" spans="1:32" ht="24.6" customHeight="1">
      <c r="A9" s="4064" t="s">
        <v>217</v>
      </c>
      <c r="B9" s="4065"/>
      <c r="C9" s="4065"/>
      <c r="D9" s="4065"/>
      <c r="E9" s="4065"/>
      <c r="F9" s="4065"/>
      <c r="G9" s="4065"/>
      <c r="H9" s="4065"/>
      <c r="I9" s="4065"/>
      <c r="J9" s="4065"/>
      <c r="K9" s="4065"/>
      <c r="L9" s="4065"/>
      <c r="M9" s="4065"/>
      <c r="N9" s="4065"/>
      <c r="O9" s="4065"/>
      <c r="P9" s="4065"/>
      <c r="Q9" s="4066"/>
      <c r="R9" s="3916"/>
      <c r="S9" s="3130"/>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0"/>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0"/>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72"/>
      <c r="J29" s="2672"/>
      <c r="K29" s="2672"/>
      <c r="L29" s="1401"/>
      <c r="M29" s="1401"/>
      <c r="O29" s="130" t="s">
        <v>1781</v>
      </c>
      <c r="P29" s="3961"/>
      <c r="Q29" s="3962"/>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3958" t="s">
        <v>6988</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1"/>
      <c r="Q36" s="3962"/>
    </row>
    <row r="37" spans="1:295" ht="11.25" customHeight="1">
      <c r="A37" s="4083"/>
      <c r="B37" s="4083"/>
      <c r="C37" s="4083"/>
      <c r="D37" s="4083"/>
      <c r="E37" s="4083"/>
      <c r="F37" s="1324"/>
      <c r="G37" s="4071" t="s">
        <v>2562</v>
      </c>
      <c r="H37" s="4072"/>
      <c r="I37" s="559"/>
      <c r="J37" s="42"/>
      <c r="K37" s="4073" t="s">
        <v>3285</v>
      </c>
      <c r="L37" s="4074"/>
      <c r="M37" s="4074"/>
      <c r="N37" s="4075"/>
    </row>
    <row r="38" spans="1:295" ht="11.25" customHeight="1">
      <c r="A38" s="4083"/>
      <c r="B38" s="4083"/>
      <c r="C38" s="4083"/>
      <c r="D38" s="4083"/>
      <c r="E38" s="4083"/>
      <c r="F38" s="1324"/>
      <c r="G38" s="4076" t="s">
        <v>335</v>
      </c>
      <c r="H38" s="4077"/>
      <c r="I38" s="559"/>
      <c r="J38" s="42"/>
      <c r="K38" s="4104" t="s">
        <v>3286</v>
      </c>
      <c r="L38" s="4105"/>
      <c r="M38" s="4105"/>
      <c r="N38" s="4106"/>
      <c r="P38" s="488" t="s">
        <v>2573</v>
      </c>
      <c r="Q38" s="2489" t="s">
        <v>2769</v>
      </c>
    </row>
    <row r="39" spans="1:295" ht="4.5" customHeight="1">
      <c r="A39" s="1324"/>
      <c r="B39" s="1324"/>
      <c r="C39" s="1324"/>
      <c r="D39" s="1324"/>
      <c r="E39" s="1324"/>
      <c r="F39" s="1324"/>
      <c r="G39" s="211"/>
      <c r="H39" s="211"/>
      <c r="I39" s="211"/>
      <c r="J39" s="42"/>
      <c r="K39" s="4107"/>
      <c r="L39" s="4107"/>
      <c r="M39" s="4107"/>
      <c r="N39" s="4107"/>
      <c r="P39" s="4080" t="s">
        <v>4132</v>
      </c>
      <c r="Q39" s="4080"/>
    </row>
    <row r="40" spans="1:295" s="82" customFormat="1" ht="10.5" customHeight="1">
      <c r="D40" s="560" t="s">
        <v>2561</v>
      </c>
      <c r="E40" s="35"/>
      <c r="F40" s="561" t="s">
        <v>3188</v>
      </c>
      <c r="G40" s="4108" t="s">
        <v>4076</v>
      </c>
      <c r="H40" s="4108"/>
      <c r="I40" s="4108"/>
      <c r="J40" s="35"/>
      <c r="K40" s="561" t="s">
        <v>3188</v>
      </c>
      <c r="L40" s="4108" t="s">
        <v>4075</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5"/>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5"/>
      <c r="P42" s="4116" t="str">
        <f>IF('Part I-Project Information'!$F$39="","",VLOOKUP('Part I-Project Information'!$J$40,'DCA Underwriting Assumptions'!$G$174:$N$333,8,FALSE))</f>
        <v>Atlanta</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5"/>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5"/>
      <c r="P44" s="4062" t="s">
        <v>4133</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5"/>
      <c r="P45" s="4078">
        <f>'Part IV-A-Uses of Funds'!$G$146</f>
        <v>18857416.83068594</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62" t="s">
        <v>4119</v>
      </c>
      <c r="Q46" s="4062"/>
      <c r="R46" s="4082" t="s">
        <v>6609</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17650913.199996434</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0" t="s">
        <v>3511</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1"/>
      <c r="Q50" s="4122"/>
      <c r="R50" s="396"/>
      <c r="S50" s="4136" t="s">
        <v>4122</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09" t="s">
        <v>3281</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49</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49 units = </v>
      </c>
      <c r="I56" s="1323">
        <f>IF(F56="","",F56*G56)</f>
        <v>9185500.7999999989</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09" t="s">
        <v>3282</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29</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29 units = </v>
      </c>
      <c r="I57" s="1323">
        <f>IF(F57="","",F57*G57)</f>
        <v>6877336.9499999993</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3009</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17</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17 units = </v>
      </c>
      <c r="I58" s="1323">
        <f>IF(F58="","",F58*G58)</f>
        <v>5077928.9000000004</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2</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0" t="s">
        <v>2597</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95</v>
      </c>
      <c r="G60" s="562"/>
      <c r="H60" s="947"/>
      <c r="I60" s="948">
        <f>SUM(I55:I59)</f>
        <v>21140766.649999999</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21140766.649999999</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49" t="s">
        <v>3600</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95</v>
      </c>
      <c r="G69" s="324"/>
      <c r="H69" s="4055">
        <f>I46+I53+I60+I67</f>
        <v>21140766.649999999</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1780</v>
      </c>
      <c r="L70" s="1401"/>
      <c r="M70" s="1401"/>
      <c r="N70" s="1401"/>
      <c r="O70" s="1401"/>
      <c r="P70" s="4151"/>
      <c r="Q70" s="4151"/>
    </row>
    <row r="71" spans="1:295" ht="10.5" customHeight="1">
      <c r="A71" s="3958" t="s">
        <v>6989</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1"/>
      <c r="Q73" s="3962"/>
    </row>
    <row r="74" spans="1:295" ht="12.75" customHeight="1">
      <c r="A74" s="2650"/>
      <c r="B74" s="138" t="s">
        <v>6432</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6433</v>
      </c>
      <c r="C75" s="4"/>
      <c r="D75" s="4"/>
      <c r="E75" s="2655"/>
      <c r="F75" s="2655"/>
      <c r="G75" s="956" t="str">
        <f>'Part I-Project Information'!$H$82</f>
        <v>Family</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1780</v>
      </c>
      <c r="L76" s="1401"/>
      <c r="M76" s="1401"/>
      <c r="N76" s="1401"/>
      <c r="O76" s="1401"/>
      <c r="P76" s="1401"/>
      <c r="Q76" s="782"/>
    </row>
    <row r="77" spans="1:295" ht="10.5" customHeight="1">
      <c r="A77" s="3958" t="s">
        <v>6990</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3948</v>
      </c>
      <c r="M79" s="1400" t="s">
        <v>3949</v>
      </c>
      <c r="O79" s="130" t="s">
        <v>1781</v>
      </c>
      <c r="P79" s="3961"/>
      <c r="Q79" s="3962"/>
    </row>
    <row r="80" spans="1:295" ht="1.5" customHeight="1"/>
    <row r="81" spans="1:31" ht="12" customHeight="1">
      <c r="A81" s="140" t="s">
        <v>1893</v>
      </c>
      <c r="B81" s="3950" t="s">
        <v>3942</v>
      </c>
      <c r="C81" s="3950"/>
      <c r="D81" s="3950"/>
      <c r="E81" s="3950"/>
      <c r="F81" s="3950"/>
      <c r="G81" s="3950"/>
      <c r="H81" s="3950"/>
      <c r="I81" s="3950"/>
      <c r="J81" s="3950"/>
      <c r="K81" s="146"/>
      <c r="L81" s="420" t="s">
        <v>2698</v>
      </c>
      <c r="M81" s="1289">
        <v>2</v>
      </c>
      <c r="N81" s="382" t="s">
        <v>4223</v>
      </c>
      <c r="P81" s="4099" t="s">
        <v>6928</v>
      </c>
      <c r="Q81" s="3956"/>
    </row>
    <row r="82" spans="1:31" ht="12" customHeight="1">
      <c r="A82" s="140"/>
      <c r="B82" s="3950"/>
      <c r="C82" s="3950"/>
      <c r="D82" s="3950"/>
      <c r="E82" s="3950"/>
      <c r="F82" s="3950"/>
      <c r="G82" s="3950"/>
      <c r="H82" s="3950"/>
      <c r="I82" s="3950"/>
      <c r="J82" s="3950"/>
      <c r="K82" s="146"/>
      <c r="L82" s="420" t="s">
        <v>3947</v>
      </c>
      <c r="M82" s="1290">
        <v>4</v>
      </c>
      <c r="O82" s="141"/>
      <c r="P82" s="4100"/>
      <c r="Q82" s="3957"/>
    </row>
    <row r="83" spans="1:31" ht="12" customHeight="1">
      <c r="A83" s="140"/>
      <c r="D83" s="2653"/>
      <c r="E83" s="2653"/>
      <c r="F83" s="2653"/>
      <c r="G83" s="2653"/>
      <c r="H83" s="2653"/>
      <c r="I83" s="2653"/>
      <c r="J83" s="2653"/>
      <c r="K83" s="146"/>
      <c r="L83" s="451" t="s">
        <v>6410</v>
      </c>
      <c r="M83" s="1290"/>
      <c r="O83" s="141"/>
      <c r="P83" s="2491">
        <v>2</v>
      </c>
      <c r="Q83" s="2949"/>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4224</v>
      </c>
      <c r="O85" s="817"/>
      <c r="P85" s="2492" t="s">
        <v>6929</v>
      </c>
      <c r="Q85" s="2950"/>
    </row>
    <row r="86" spans="1:31" ht="12.75" customHeight="1">
      <c r="A86" s="1254"/>
      <c r="B86" s="1305" t="s">
        <v>1659</v>
      </c>
      <c r="C86" s="382" t="s">
        <v>3951</v>
      </c>
      <c r="D86" s="1256"/>
      <c r="E86" s="1256"/>
      <c r="F86" s="1256"/>
      <c r="G86" s="1256"/>
      <c r="H86" s="1256"/>
      <c r="I86" s="1256"/>
      <c r="J86" s="1256"/>
      <c r="K86" s="1255"/>
      <c r="L86" s="816"/>
      <c r="N86" s="382" t="s">
        <v>4225</v>
      </c>
      <c r="O86" s="817"/>
      <c r="P86" s="2666" t="s">
        <v>6928</v>
      </c>
      <c r="Q86" s="2951"/>
    </row>
    <row r="87" spans="1:31" ht="12.75" customHeight="1">
      <c r="A87" s="1253"/>
      <c r="B87" s="451" t="s">
        <v>1660</v>
      </c>
      <c r="C87" s="382" t="s">
        <v>3952</v>
      </c>
      <c r="E87" s="1256"/>
      <c r="F87" s="1256"/>
      <c r="G87" s="1256"/>
      <c r="H87" s="1256"/>
      <c r="I87" s="1256"/>
      <c r="J87" s="1256"/>
      <c r="K87" s="1255"/>
      <c r="L87" s="816"/>
      <c r="M87" s="817"/>
      <c r="N87" s="382" t="s">
        <v>4226</v>
      </c>
      <c r="O87" s="817"/>
      <c r="P87" s="2666" t="s">
        <v>6928</v>
      </c>
      <c r="Q87" s="2951"/>
    </row>
    <row r="88" spans="1:31" ht="12.75" customHeight="1">
      <c r="A88" s="142"/>
      <c r="B88" s="451" t="s">
        <v>2260</v>
      </c>
      <c r="C88" s="451" t="s">
        <v>3955</v>
      </c>
      <c r="D88" s="132"/>
      <c r="E88" s="132"/>
      <c r="F88" s="132"/>
      <c r="G88" s="132"/>
      <c r="H88" s="132"/>
      <c r="I88" s="42"/>
      <c r="J88" s="42"/>
      <c r="N88" s="382" t="s">
        <v>4227</v>
      </c>
      <c r="O88" s="817"/>
      <c r="P88" s="2671" t="s">
        <v>6930</v>
      </c>
      <c r="Q88" s="2952"/>
    </row>
    <row r="89" spans="1:31" ht="12.75" customHeight="1">
      <c r="A89" s="142"/>
      <c r="B89" s="451"/>
      <c r="C89" s="382" t="s">
        <v>3956</v>
      </c>
      <c r="D89" s="132"/>
      <c r="E89" s="132"/>
      <c r="F89" s="132"/>
      <c r="G89" s="132"/>
      <c r="H89" s="132"/>
      <c r="I89" s="42"/>
      <c r="J89" s="42"/>
      <c r="L89" s="4015" t="s">
        <v>931</v>
      </c>
      <c r="M89" s="4016"/>
      <c r="N89" s="4016"/>
      <c r="O89" s="4016"/>
      <c r="P89" s="4016"/>
      <c r="Q89" s="4017"/>
    </row>
    <row r="90" spans="1:31" ht="12.75" customHeight="1">
      <c r="A90" s="142"/>
      <c r="B90" s="451" t="s">
        <v>1487</v>
      </c>
      <c r="C90" s="3950" t="s">
        <v>3953</v>
      </c>
      <c r="D90" s="3950"/>
      <c r="E90" s="3950"/>
      <c r="F90" s="3950"/>
      <c r="G90" s="3950"/>
      <c r="H90" s="3950"/>
      <c r="I90" s="3950"/>
      <c r="J90" s="3950"/>
      <c r="K90" s="3950"/>
      <c r="L90" s="3950"/>
      <c r="M90" s="494"/>
      <c r="N90" s="382" t="s">
        <v>4228</v>
      </c>
      <c r="O90" s="817"/>
      <c r="P90" s="2493" t="s">
        <v>6928</v>
      </c>
      <c r="Q90" s="2953"/>
    </row>
    <row r="91" spans="1:31" ht="12.75" customHeight="1">
      <c r="A91" s="47"/>
      <c r="C91" s="3950"/>
      <c r="D91" s="3950"/>
      <c r="E91" s="3950"/>
      <c r="F91" s="3950"/>
      <c r="G91" s="3950"/>
      <c r="H91" s="3950"/>
      <c r="I91" s="3950"/>
      <c r="J91" s="3950"/>
      <c r="K91" s="3950"/>
      <c r="L91" s="3950"/>
      <c r="M91" s="494"/>
    </row>
    <row r="92" spans="1:31" ht="10.5" customHeight="1">
      <c r="B92" s="94" t="s">
        <v>3371</v>
      </c>
      <c r="D92" s="94"/>
      <c r="E92" s="94"/>
      <c r="F92" s="94"/>
      <c r="G92" s="94"/>
      <c r="H92" s="40"/>
      <c r="I92" s="2672"/>
      <c r="J92" s="2672"/>
      <c r="K92" s="135" t="s">
        <v>1780</v>
      </c>
      <c r="L92" s="1401"/>
      <c r="M92" s="1401"/>
      <c r="N92" s="1401"/>
      <c r="O92" s="1401"/>
      <c r="P92" s="1401"/>
      <c r="Q92" s="782"/>
    </row>
    <row r="93" spans="1:31" ht="90" customHeight="1">
      <c r="A93" s="3958" t="s">
        <v>6995</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4219</v>
      </c>
      <c r="C95" s="2650"/>
      <c r="D95" s="2655"/>
      <c r="E95" s="2655"/>
      <c r="F95" s="2655"/>
      <c r="G95" s="2655"/>
      <c r="H95" s="1409" t="str">
        <f>'Part I-Project Information'!$K$41</f>
        <v>Urban</v>
      </c>
      <c r="J95" s="47" t="s">
        <v>4222</v>
      </c>
      <c r="K95" s="557" t="str">
        <f>'Part I-Project Information'!$H$105</f>
        <v>Atlanta Metro</v>
      </c>
      <c r="L95" s="63" t="s">
        <v>3985</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6964</v>
      </c>
      <c r="N97" s="4029"/>
      <c r="O97" s="4029"/>
      <c r="P97" s="4060"/>
      <c r="Q97" s="2950"/>
    </row>
    <row r="98" spans="1:32" ht="12.75" customHeight="1">
      <c r="A98" s="47" t="s">
        <v>1895</v>
      </c>
      <c r="B98" s="52" t="s">
        <v>4145</v>
      </c>
      <c r="D98" s="132"/>
      <c r="E98" s="132"/>
      <c r="F98" s="132"/>
      <c r="L98" s="439" t="s">
        <v>1895</v>
      </c>
      <c r="M98" s="4096" t="s">
        <v>6965</v>
      </c>
      <c r="N98" s="4097"/>
      <c r="O98" s="4097"/>
      <c r="P98" s="4098"/>
      <c r="Q98" s="2951"/>
    </row>
    <row r="99" spans="1:32" ht="12.75" customHeight="1">
      <c r="A99" s="47" t="s">
        <v>719</v>
      </c>
      <c r="B99" s="52" t="s">
        <v>2671</v>
      </c>
      <c r="D99" s="132"/>
      <c r="E99" s="132"/>
      <c r="F99" s="132"/>
      <c r="L99" s="439" t="s">
        <v>719</v>
      </c>
      <c r="M99" s="4145" t="s">
        <v>6966</v>
      </c>
      <c r="N99" s="4146"/>
      <c r="O99" s="4146"/>
      <c r="P99" s="4147"/>
      <c r="Q99" s="2951"/>
    </row>
    <row r="100" spans="1:32" ht="12.75" customHeight="1">
      <c r="A100" s="47" t="s">
        <v>2021</v>
      </c>
      <c r="B100" s="52" t="s">
        <v>3442</v>
      </c>
      <c r="D100" s="132"/>
      <c r="E100" s="132"/>
      <c r="F100" s="132"/>
      <c r="J100" s="439" t="s">
        <v>3443</v>
      </c>
      <c r="K100" s="2494">
        <v>1.9E-2</v>
      </c>
      <c r="L100" s="2954"/>
      <c r="M100" s="1601"/>
      <c r="N100" s="1600"/>
      <c r="O100" s="955" t="s">
        <v>3539</v>
      </c>
      <c r="P100" s="2495" t="s">
        <v>931</v>
      </c>
      <c r="Q100" s="2955"/>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6967</v>
      </c>
      <c r="E103" s="4031" t="s">
        <v>6968</v>
      </c>
      <c r="F103" s="4031"/>
      <c r="G103" s="4031"/>
      <c r="H103" s="65" t="s">
        <v>1660</v>
      </c>
      <c r="I103" s="2496" t="s">
        <v>6991</v>
      </c>
      <c r="J103" s="4031" t="s">
        <v>6970</v>
      </c>
      <c r="K103" s="4031"/>
      <c r="L103" s="4031"/>
      <c r="M103" s="64" t="s">
        <v>1487</v>
      </c>
      <c r="N103" s="2496"/>
      <c r="O103" s="4031"/>
      <c r="P103" s="4031"/>
      <c r="Q103" s="4031"/>
    </row>
    <row r="104" spans="1:32" ht="12.75" customHeight="1">
      <c r="C104" s="65" t="s">
        <v>1659</v>
      </c>
      <c r="D104" s="2497"/>
      <c r="E104" s="3949" t="s">
        <v>6969</v>
      </c>
      <c r="F104" s="3949"/>
      <c r="G104" s="3949"/>
      <c r="H104" s="439" t="s">
        <v>2260</v>
      </c>
      <c r="I104" s="2497"/>
      <c r="J104" s="3949"/>
      <c r="K104" s="3949"/>
      <c r="L104" s="3949"/>
      <c r="M104" s="64" t="s">
        <v>1488</v>
      </c>
      <c r="N104" s="2497"/>
      <c r="O104" s="3949"/>
      <c r="P104" s="3949"/>
      <c r="Q104" s="3949"/>
    </row>
    <row r="105" spans="1:32" ht="12.75" customHeight="1">
      <c r="A105" s="47" t="s">
        <v>1657</v>
      </c>
      <c r="B105" s="52" t="s">
        <v>6324</v>
      </c>
      <c r="D105" s="132"/>
      <c r="E105" s="132"/>
      <c r="F105" s="132"/>
      <c r="G105" s="132"/>
      <c r="H105" s="132"/>
      <c r="I105" s="42"/>
      <c r="J105" s="42"/>
      <c r="K105" s="132"/>
      <c r="L105" s="2659"/>
      <c r="M105" s="2659"/>
      <c r="O105" s="439" t="s">
        <v>1657</v>
      </c>
      <c r="P105" s="2668" t="s">
        <v>2769</v>
      </c>
      <c r="Q105" s="2956"/>
    </row>
    <row r="106" spans="1:32" ht="12.75" customHeight="1">
      <c r="A106" s="47" t="s">
        <v>1858</v>
      </c>
      <c r="B106" s="52" t="s">
        <v>6326</v>
      </c>
      <c r="D106" s="132"/>
      <c r="E106" s="132"/>
      <c r="F106" s="132"/>
      <c r="G106" s="132"/>
      <c r="H106" s="132"/>
      <c r="I106" s="42"/>
      <c r="J106" s="42"/>
      <c r="K106" s="132"/>
      <c r="L106" s="2659"/>
      <c r="M106" s="2659"/>
      <c r="O106" s="439" t="s">
        <v>1858</v>
      </c>
      <c r="P106" s="2666" t="s">
        <v>2769</v>
      </c>
      <c r="Q106" s="2951"/>
    </row>
    <row r="107" spans="1:32" ht="10.5" customHeight="1">
      <c r="A107" s="47" t="s">
        <v>3124</v>
      </c>
      <c r="B107" s="52" t="s">
        <v>6328</v>
      </c>
      <c r="D107" s="132"/>
      <c r="E107" s="132"/>
      <c r="F107" s="132"/>
      <c r="G107" s="132"/>
      <c r="H107" s="132"/>
      <c r="I107" s="42"/>
      <c r="J107" s="42"/>
      <c r="K107" s="132"/>
      <c r="L107" s="2659"/>
      <c r="M107" s="2659"/>
      <c r="O107" s="439" t="s">
        <v>3124</v>
      </c>
      <c r="P107" s="2498">
        <v>0.95</v>
      </c>
      <c r="Q107" s="2957"/>
    </row>
    <row r="108" spans="1:32" s="131" customFormat="1" ht="60" customHeight="1">
      <c r="A108" s="140" t="s">
        <v>586</v>
      </c>
      <c r="B108" s="3963" t="s">
        <v>6325</v>
      </c>
      <c r="C108" s="3963"/>
      <c r="D108" s="3963"/>
      <c r="E108" s="3963"/>
      <c r="F108" s="3963"/>
      <c r="G108" s="3963"/>
      <c r="H108" s="3963"/>
      <c r="I108" s="3963"/>
      <c r="J108" s="3963"/>
      <c r="K108" s="3963"/>
      <c r="L108" s="3963"/>
      <c r="M108" s="3963"/>
      <c r="N108" s="3963"/>
      <c r="O108" s="1490" t="s">
        <v>6327</v>
      </c>
      <c r="P108" s="2657" t="s">
        <v>2769</v>
      </c>
      <c r="Q108" s="2958"/>
      <c r="AE108" s="442"/>
      <c r="AF108" s="442"/>
    </row>
    <row r="109" spans="1:32" s="42" customFormat="1" ht="12.75" customHeight="1">
      <c r="A109" s="47"/>
      <c r="B109" s="1305" t="s">
        <v>1659</v>
      </c>
      <c r="C109" s="52" t="s">
        <v>4275</v>
      </c>
      <c r="D109" s="132"/>
      <c r="E109" s="132"/>
      <c r="F109" s="132"/>
      <c r="G109" s="132"/>
      <c r="H109" s="132"/>
      <c r="K109" s="132"/>
      <c r="L109" s="2659"/>
      <c r="M109" s="2659"/>
      <c r="O109" s="439" t="s">
        <v>1659</v>
      </c>
      <c r="P109" s="2671" t="s">
        <v>2772</v>
      </c>
      <c r="Q109" s="2952"/>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108" customHeight="1">
      <c r="A111" s="3958" t="s">
        <v>6996</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61"/>
      <c r="Q114" s="3962"/>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93" t="s">
        <v>2769</v>
      </c>
      <c r="Q116" s="2956"/>
    </row>
    <row r="117" spans="1:32" ht="12.75" customHeight="1">
      <c r="B117" s="1305" t="s">
        <v>1658</v>
      </c>
      <c r="C117" s="39" t="s">
        <v>527</v>
      </c>
      <c r="E117" s="42"/>
      <c r="F117" s="42"/>
      <c r="G117" s="42"/>
      <c r="H117" s="42"/>
      <c r="I117" s="42"/>
      <c r="L117" s="65" t="s">
        <v>528</v>
      </c>
      <c r="M117" s="4015" t="s">
        <v>6931</v>
      </c>
      <c r="N117" s="4016"/>
      <c r="O117" s="4016"/>
      <c r="P117" s="3506"/>
      <c r="Q117" s="2951"/>
    </row>
    <row r="118" spans="1:32" s="42" customFormat="1" ht="12.75" customHeight="1">
      <c r="B118" s="144" t="s">
        <v>1659</v>
      </c>
      <c r="C118" s="36" t="s">
        <v>4011</v>
      </c>
      <c r="O118" s="65" t="s">
        <v>1659</v>
      </c>
      <c r="P118" s="2668" t="s">
        <v>2769</v>
      </c>
      <c r="Q118" s="2956"/>
      <c r="AE118" s="50"/>
      <c r="AF118" s="50"/>
    </row>
    <row r="119" spans="1:32" s="42" customFormat="1" ht="12.75" customHeight="1">
      <c r="B119" s="1305" t="s">
        <v>1660</v>
      </c>
      <c r="C119" s="36" t="s">
        <v>4256</v>
      </c>
      <c r="O119" s="147" t="s">
        <v>1660</v>
      </c>
      <c r="P119" s="2499">
        <v>44322</v>
      </c>
      <c r="Q119" s="2959"/>
      <c r="AE119" s="50"/>
      <c r="AF119" s="50"/>
    </row>
    <row r="120" spans="1:32" ht="12.75" customHeight="1">
      <c r="A120" s="2672"/>
      <c r="B120" s="451" t="s">
        <v>2260</v>
      </c>
      <c r="C120" s="783" t="s">
        <v>3957</v>
      </c>
      <c r="D120" s="901"/>
      <c r="E120" s="901"/>
      <c r="F120" s="901"/>
      <c r="G120" s="901"/>
      <c r="H120" s="901"/>
      <c r="I120" s="901"/>
      <c r="J120" s="901"/>
      <c r="K120" s="901"/>
      <c r="L120" s="901"/>
      <c r="M120" s="901"/>
      <c r="O120" s="159" t="s">
        <v>2260</v>
      </c>
      <c r="P120" s="2500" t="s">
        <v>2769</v>
      </c>
      <c r="Q120" s="2951"/>
    </row>
    <row r="121" spans="1:32" ht="12.75" customHeight="1">
      <c r="A121" s="2672"/>
      <c r="B121" s="451" t="s">
        <v>1487</v>
      </c>
      <c r="C121" s="783" t="s">
        <v>3199</v>
      </c>
      <c r="D121" s="901"/>
      <c r="E121" s="901"/>
      <c r="F121" s="901"/>
      <c r="G121" s="901"/>
      <c r="H121" s="901"/>
      <c r="I121" s="901"/>
      <c r="J121" s="901"/>
      <c r="K121" s="901"/>
      <c r="L121" s="901"/>
      <c r="M121" s="901"/>
      <c r="O121" s="159" t="s">
        <v>1487</v>
      </c>
      <c r="P121" s="2666" t="s">
        <v>2769</v>
      </c>
      <c r="Q121" s="2951"/>
    </row>
    <row r="122" spans="1:32" ht="12.75" customHeight="1">
      <c r="A122" s="2672"/>
      <c r="B122" s="451" t="s">
        <v>1488</v>
      </c>
      <c r="C122" s="783" t="s">
        <v>3200</v>
      </c>
      <c r="D122" s="901"/>
      <c r="E122" s="901"/>
      <c r="F122" s="901"/>
      <c r="G122" s="901"/>
      <c r="H122" s="901"/>
      <c r="I122" s="901"/>
      <c r="J122" s="901"/>
      <c r="K122" s="901"/>
      <c r="L122" s="901"/>
      <c r="M122" s="901"/>
      <c r="O122" s="159" t="s">
        <v>1488</v>
      </c>
      <c r="P122" s="2666" t="s">
        <v>2769</v>
      </c>
      <c r="Q122" s="2951"/>
    </row>
    <row r="123" spans="1:32" ht="12.75" customHeight="1">
      <c r="A123" s="2672"/>
      <c r="B123" s="451" t="s">
        <v>92</v>
      </c>
      <c r="C123" s="783" t="s">
        <v>2672</v>
      </c>
      <c r="D123" s="783"/>
      <c r="E123" s="783"/>
      <c r="F123" s="783"/>
      <c r="G123" s="783"/>
      <c r="H123" s="783"/>
      <c r="I123" s="783"/>
      <c r="J123" s="783"/>
      <c r="K123" s="783"/>
      <c r="L123" s="783"/>
      <c r="M123" s="986"/>
      <c r="O123" s="159" t="s">
        <v>92</v>
      </c>
      <c r="P123" s="2666" t="s">
        <v>2769</v>
      </c>
      <c r="Q123" s="2951"/>
    </row>
    <row r="124" spans="1:32" s="131" customFormat="1" ht="23.25" customHeight="1">
      <c r="A124" s="420"/>
      <c r="B124" s="451" t="s">
        <v>489</v>
      </c>
      <c r="C124" s="3963" t="s">
        <v>4148</v>
      </c>
      <c r="D124" s="3963"/>
      <c r="E124" s="3963"/>
      <c r="F124" s="3963"/>
      <c r="G124" s="3963"/>
      <c r="H124" s="3963"/>
      <c r="I124" s="3963"/>
      <c r="J124" s="3963"/>
      <c r="K124" s="3963"/>
      <c r="L124" s="3963"/>
      <c r="M124" s="3963"/>
      <c r="N124" s="3963"/>
      <c r="O124" s="159" t="s">
        <v>489</v>
      </c>
      <c r="P124" s="2658" t="s">
        <v>2772</v>
      </c>
      <c r="Q124" s="2960"/>
      <c r="AE124" s="442"/>
      <c r="AF124" s="442"/>
    </row>
    <row r="125" spans="1:32" ht="12.75" customHeight="1">
      <c r="A125" s="47" t="s">
        <v>1895</v>
      </c>
      <c r="B125" s="52" t="s">
        <v>4147</v>
      </c>
      <c r="C125" s="52"/>
      <c r="E125" s="52"/>
      <c r="F125" s="52"/>
      <c r="G125" s="52"/>
      <c r="H125" s="52"/>
      <c r="I125" s="52"/>
      <c r="J125" s="52"/>
      <c r="K125" s="52"/>
      <c r="L125" s="52"/>
      <c r="M125" s="52"/>
      <c r="O125" s="439" t="s">
        <v>1895</v>
      </c>
      <c r="P125" s="2668" t="s">
        <v>2769</v>
      </c>
      <c r="Q125" s="2956"/>
    </row>
    <row r="126" spans="1:32" ht="12.75" customHeight="1">
      <c r="B126" s="1305" t="s">
        <v>1658</v>
      </c>
      <c r="C126" s="52" t="s">
        <v>4278</v>
      </c>
      <c r="D126" s="52"/>
      <c r="E126" s="52"/>
      <c r="F126" s="52"/>
      <c r="G126" s="52"/>
      <c r="H126" s="52"/>
      <c r="I126" s="52"/>
      <c r="J126" s="52"/>
      <c r="K126" s="52"/>
      <c r="L126" s="52"/>
      <c r="M126" s="52"/>
      <c r="O126" s="147" t="s">
        <v>1658</v>
      </c>
      <c r="P126" s="2668" t="s">
        <v>2772</v>
      </c>
      <c r="Q126" s="2956"/>
    </row>
    <row r="127" spans="1:32" ht="12.75" customHeight="1">
      <c r="A127" s="47"/>
      <c r="B127" s="144" t="s">
        <v>1659</v>
      </c>
      <c r="C127" s="52" t="s">
        <v>4277</v>
      </c>
      <c r="D127" s="52"/>
      <c r="E127" s="52"/>
      <c r="F127" s="52"/>
      <c r="G127" s="52"/>
      <c r="H127" s="52"/>
      <c r="I127" s="52"/>
      <c r="J127" s="52"/>
      <c r="K127" s="52"/>
      <c r="L127" s="52"/>
      <c r="M127" s="52"/>
      <c r="O127" s="65" t="s">
        <v>1659</v>
      </c>
      <c r="P127" s="2501" t="s">
        <v>6869</v>
      </c>
      <c r="Q127" s="2961"/>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58" t="s">
        <v>6997</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3955" t="s">
        <v>6932</v>
      </c>
      <c r="M134" s="3955"/>
      <c r="N134" s="3955"/>
      <c r="O134" s="3955"/>
      <c r="P134" s="3955"/>
      <c r="Q134" s="2953"/>
    </row>
    <row r="135" spans="1:31" ht="12" customHeight="1">
      <c r="B135" s="55" t="s">
        <v>6440</v>
      </c>
      <c r="O135" s="65" t="s">
        <v>1659</v>
      </c>
      <c r="P135" s="2500" t="s">
        <v>2772</v>
      </c>
      <c r="Q135" s="2962"/>
    </row>
    <row r="136" spans="1:31" ht="12" customHeight="1">
      <c r="A136" s="47" t="s">
        <v>1895</v>
      </c>
      <c r="B136" s="52" t="s">
        <v>1476</v>
      </c>
      <c r="D136" s="132"/>
      <c r="E136" s="132"/>
      <c r="F136" s="132"/>
      <c r="G136" s="132"/>
      <c r="H136" s="132"/>
      <c r="I136" s="42"/>
      <c r="J136" s="42"/>
      <c r="K136" s="132"/>
      <c r="L136" s="2659"/>
      <c r="O136" s="439" t="s">
        <v>1895</v>
      </c>
      <c r="P136" s="2500" t="s">
        <v>2772</v>
      </c>
      <c r="Q136" s="2962"/>
    </row>
    <row r="137" spans="1:31" ht="12" customHeight="1">
      <c r="A137" s="47" t="s">
        <v>719</v>
      </c>
      <c r="B137" s="52" t="s">
        <v>143</v>
      </c>
      <c r="D137" s="132"/>
      <c r="E137" s="132"/>
      <c r="F137" s="132"/>
      <c r="G137" s="132"/>
      <c r="H137" s="132"/>
      <c r="I137" s="42"/>
      <c r="J137" s="42"/>
      <c r="K137" s="2659"/>
      <c r="L137" s="2659"/>
      <c r="O137" s="439" t="s">
        <v>719</v>
      </c>
      <c r="P137" s="2671" t="s">
        <v>2769</v>
      </c>
      <c r="Q137" s="2963"/>
    </row>
    <row r="138" spans="1:31" ht="12" customHeight="1">
      <c r="A138" s="47"/>
      <c r="B138" s="783" t="s">
        <v>1658</v>
      </c>
      <c r="C138" s="52" t="s">
        <v>2540</v>
      </c>
      <c r="E138" s="132"/>
      <c r="F138" s="132"/>
      <c r="G138" s="132"/>
      <c r="H138" s="132"/>
      <c r="I138" s="42"/>
      <c r="J138" s="42"/>
      <c r="K138" s="65" t="s">
        <v>1658</v>
      </c>
      <c r="L138" s="3955" t="s">
        <v>6933</v>
      </c>
      <c r="M138" s="3955"/>
      <c r="N138" s="3955"/>
      <c r="O138" s="3955"/>
      <c r="P138" s="3955"/>
      <c r="Q138" s="2953"/>
    </row>
    <row r="139" spans="1:31" ht="12" customHeight="1">
      <c r="A139" s="137"/>
      <c r="B139" s="144" t="s">
        <v>1659</v>
      </c>
      <c r="C139" s="36" t="s">
        <v>3201</v>
      </c>
      <c r="E139" s="42"/>
      <c r="F139" s="42"/>
      <c r="G139" s="42"/>
      <c r="H139" s="52"/>
      <c r="I139" s="42"/>
      <c r="J139" s="42"/>
      <c r="K139" s="132"/>
      <c r="L139" s="2659"/>
      <c r="M139" s="2659"/>
      <c r="O139" s="439" t="s">
        <v>1659</v>
      </c>
      <c r="P139" s="2668" t="s">
        <v>6934</v>
      </c>
      <c r="Q139" s="2956"/>
    </row>
    <row r="140" spans="1:31" ht="12" customHeight="1">
      <c r="A140" s="137"/>
      <c r="B140" s="40" t="s">
        <v>1660</v>
      </c>
      <c r="C140" s="36" t="s">
        <v>3943</v>
      </c>
      <c r="D140" s="146"/>
      <c r="E140" s="42"/>
      <c r="F140" s="42"/>
      <c r="G140" s="42"/>
      <c r="H140" s="52"/>
      <c r="I140" s="42"/>
      <c r="J140" s="42"/>
      <c r="K140" s="132"/>
      <c r="L140" s="2659"/>
      <c r="M140" s="2659"/>
      <c r="O140" s="439" t="s">
        <v>1660</v>
      </c>
      <c r="P140" s="2671" t="s">
        <v>6930</v>
      </c>
      <c r="Q140" s="2952"/>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2772</v>
      </c>
      <c r="G142" s="2950"/>
      <c r="H142" s="439" t="s">
        <v>4038</v>
      </c>
      <c r="I142" s="52" t="s">
        <v>6329</v>
      </c>
      <c r="K142" s="2668" t="s">
        <v>2772</v>
      </c>
      <c r="L142" s="2956"/>
      <c r="M142" s="439" t="s">
        <v>4042</v>
      </c>
      <c r="N142" s="55" t="s">
        <v>3417</v>
      </c>
      <c r="O142" s="2659"/>
      <c r="P142" s="2492" t="s">
        <v>2772</v>
      </c>
      <c r="Q142" s="2950"/>
    </row>
    <row r="143" spans="1:31" ht="12.75" customHeight="1">
      <c r="B143" s="144" t="s">
        <v>1659</v>
      </c>
      <c r="C143" s="52" t="s">
        <v>6441</v>
      </c>
      <c r="E143" s="132"/>
      <c r="F143" s="2492" t="s">
        <v>2772</v>
      </c>
      <c r="G143" s="2951"/>
      <c r="H143" s="439" t="s">
        <v>4039</v>
      </c>
      <c r="I143" s="52" t="s">
        <v>6330</v>
      </c>
      <c r="K143" s="2668" t="s">
        <v>2769</v>
      </c>
      <c r="L143" s="2951"/>
      <c r="M143" s="439" t="s">
        <v>4043</v>
      </c>
      <c r="N143" s="52" t="s">
        <v>1489</v>
      </c>
      <c r="P143" s="2492" t="s">
        <v>2772</v>
      </c>
      <c r="Q143" s="2951"/>
    </row>
    <row r="144" spans="1:31" ht="12" customHeight="1">
      <c r="A144" s="36"/>
      <c r="B144" s="144" t="s">
        <v>1660</v>
      </c>
      <c r="C144" s="52" t="s">
        <v>6442</v>
      </c>
      <c r="E144" s="132"/>
      <c r="F144" s="2492" t="s">
        <v>2772</v>
      </c>
      <c r="G144" s="2951"/>
      <c r="H144" s="439" t="s">
        <v>4040</v>
      </c>
      <c r="I144" s="55" t="s">
        <v>6443</v>
      </c>
      <c r="K144" s="2668" t="s">
        <v>2769</v>
      </c>
      <c r="L144" s="2952"/>
      <c r="M144" s="439" t="s">
        <v>6444</v>
      </c>
      <c r="N144" s="55" t="s">
        <v>6331</v>
      </c>
      <c r="P144" s="2492" t="s">
        <v>2772</v>
      </c>
      <c r="Q144" s="2951"/>
    </row>
    <row r="145" spans="1:32" ht="12" customHeight="1">
      <c r="A145" s="36"/>
      <c r="B145" s="144" t="s">
        <v>2260</v>
      </c>
      <c r="C145" s="55" t="s">
        <v>2503</v>
      </c>
      <c r="E145" s="132"/>
      <c r="F145" s="2492" t="s">
        <v>2772</v>
      </c>
      <c r="G145" s="2951"/>
      <c r="H145" s="439" t="s">
        <v>4041</v>
      </c>
      <c r="I145" s="3963" t="s">
        <v>6446</v>
      </c>
      <c r="J145" s="3963"/>
      <c r="K145" s="784"/>
      <c r="M145" s="439" t="s">
        <v>6445</v>
      </c>
      <c r="N145" s="52" t="s">
        <v>141</v>
      </c>
      <c r="P145" s="2492" t="s">
        <v>2772</v>
      </c>
      <c r="Q145" s="2952"/>
    </row>
    <row r="146" spans="1:32" ht="12" customHeight="1">
      <c r="A146" s="36"/>
      <c r="B146" s="439" t="s">
        <v>4037</v>
      </c>
      <c r="C146" s="52" t="s">
        <v>2611</v>
      </c>
      <c r="E146" s="132"/>
      <c r="F146" s="2492" t="s">
        <v>2772</v>
      </c>
      <c r="G146" s="2952"/>
      <c r="I146" s="3963"/>
      <c r="J146" s="3963"/>
      <c r="K146" s="2493" t="s">
        <v>2772</v>
      </c>
      <c r="L146" s="2953"/>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4148" t="s">
        <v>6935</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t="s">
        <v>2772</v>
      </c>
      <c r="Q150" s="2950"/>
    </row>
    <row r="151" spans="1:32" ht="12.75" customHeight="1">
      <c r="A151" s="2672"/>
      <c r="B151" s="144" t="s">
        <v>1659</v>
      </c>
      <c r="C151" s="52" t="s">
        <v>469</v>
      </c>
      <c r="E151" s="52"/>
      <c r="F151" s="52"/>
      <c r="G151" s="52"/>
      <c r="H151" s="52"/>
      <c r="I151" s="42"/>
      <c r="J151" s="42"/>
      <c r="K151" s="52"/>
      <c r="L151" s="52"/>
      <c r="M151" s="52"/>
      <c r="O151" s="65" t="s">
        <v>1659</v>
      </c>
      <c r="P151" s="2666" t="s">
        <v>2769</v>
      </c>
      <c r="Q151" s="2951"/>
    </row>
    <row r="152" spans="1:32" ht="12.75" customHeight="1">
      <c r="A152" s="2672"/>
      <c r="B152" s="144" t="s">
        <v>1660</v>
      </c>
      <c r="C152" s="52" t="s">
        <v>651</v>
      </c>
      <c r="E152" s="52"/>
      <c r="F152" s="52"/>
      <c r="G152" s="52"/>
      <c r="H152" s="52"/>
      <c r="I152" s="42"/>
      <c r="J152" s="42"/>
      <c r="K152" s="52"/>
      <c r="L152" s="52"/>
      <c r="M152" s="52"/>
      <c r="O152" s="65" t="s">
        <v>1660</v>
      </c>
      <c r="P152" s="2666" t="s">
        <v>2769</v>
      </c>
      <c r="Q152" s="2951"/>
    </row>
    <row r="153" spans="1:32" ht="12.75" customHeight="1">
      <c r="A153" s="2672"/>
      <c r="B153" s="40" t="s">
        <v>2260</v>
      </c>
      <c r="C153" s="52" t="s">
        <v>4024</v>
      </c>
      <c r="E153" s="52"/>
      <c r="F153" s="52"/>
      <c r="G153" s="52"/>
      <c r="H153" s="52"/>
      <c r="I153" s="42"/>
      <c r="J153" s="42"/>
      <c r="K153" s="52"/>
      <c r="L153" s="52"/>
      <c r="M153" s="52"/>
      <c r="O153" s="439" t="s">
        <v>2260</v>
      </c>
      <c r="P153" s="2671" t="s">
        <v>2772</v>
      </c>
      <c r="Q153" s="2952"/>
    </row>
    <row r="154" spans="1:32" ht="12" customHeight="1">
      <c r="A154" s="399" t="s">
        <v>4149</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74.45" customHeight="1">
      <c r="A157" s="3958" t="s">
        <v>7017</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61"/>
      <c r="Q162" s="3962"/>
    </row>
    <row r="163" spans="1:31" ht="12" customHeight="1">
      <c r="A163" s="47" t="s">
        <v>1893</v>
      </c>
      <c r="B163" s="144" t="s">
        <v>1658</v>
      </c>
      <c r="C163" s="52" t="s">
        <v>6332</v>
      </c>
      <c r="D163" s="52"/>
      <c r="E163" s="52"/>
      <c r="F163" s="52"/>
      <c r="G163" s="52"/>
      <c r="K163" s="52" t="s">
        <v>2555</v>
      </c>
      <c r="M163" s="4045">
        <v>44926</v>
      </c>
      <c r="N163" s="4046"/>
      <c r="O163" s="65" t="s">
        <v>1658</v>
      </c>
      <c r="P163" s="2489" t="s">
        <v>2769</v>
      </c>
      <c r="Q163" s="2964"/>
    </row>
    <row r="164" spans="1:31" ht="12" customHeight="1">
      <c r="A164" s="47"/>
      <c r="B164" s="144" t="s">
        <v>1659</v>
      </c>
      <c r="C164" s="52" t="s">
        <v>4257</v>
      </c>
      <c r="D164" s="52"/>
      <c r="E164" s="52"/>
      <c r="F164" s="52"/>
      <c r="G164" s="52"/>
      <c r="K164" s="52" t="s">
        <v>2555</v>
      </c>
      <c r="M164" s="4045"/>
      <c r="N164" s="4046"/>
      <c r="O164" s="65" t="s">
        <v>1659</v>
      </c>
      <c r="P164" s="2489"/>
      <c r="Q164" s="2964"/>
    </row>
    <row r="165" spans="1:31" ht="12" customHeight="1">
      <c r="A165" s="47" t="s">
        <v>1895</v>
      </c>
      <c r="B165" s="138" t="s">
        <v>142</v>
      </c>
      <c r="D165" s="138"/>
      <c r="E165" s="138"/>
      <c r="F165" s="52" t="str">
        <f>IF(M165="Ground lease/Option","Ground lease/Option:","")</f>
        <v>Ground lease/Option:</v>
      </c>
      <c r="H165" s="36" t="str">
        <f>IF(M165="Ground lease/Option","Annual Pymt:","")</f>
        <v>Annual Pymt:</v>
      </c>
      <c r="I165" s="1315">
        <f>IF(M165="Ground lease/Option",'Part VI-Revenues &amp; Expenses'!$K$248,"")</f>
        <v>0</v>
      </c>
      <c r="J165" s="439" t="str">
        <f>IF(M165="Ground lease/Option","Term:","")</f>
        <v>Term:</v>
      </c>
      <c r="K165" s="1676">
        <f>IF(M165="Ground lease/Option",'Part VI-Revenues &amp; Expenses'!$N$248,"")</f>
        <v>0</v>
      </c>
      <c r="L165" s="439" t="s">
        <v>1895</v>
      </c>
      <c r="M165" s="4056" t="s">
        <v>6936</v>
      </c>
      <c r="N165" s="4057"/>
      <c r="P165" s="4058" t="s">
        <v>1691</v>
      </c>
      <c r="Q165" s="4059"/>
    </row>
    <row r="166" spans="1:31" ht="12" customHeight="1">
      <c r="A166" s="47" t="s">
        <v>719</v>
      </c>
      <c r="B166" s="138" t="s">
        <v>652</v>
      </c>
      <c r="D166" s="138"/>
      <c r="E166" s="138"/>
      <c r="F166" s="138"/>
      <c r="G166" s="138"/>
      <c r="H166" s="138"/>
      <c r="J166" s="439" t="s">
        <v>719</v>
      </c>
      <c r="K166" s="4015" t="s">
        <v>6884</v>
      </c>
      <c r="L166" s="4016"/>
      <c r="M166" s="4016"/>
      <c r="N166" s="4016"/>
      <c r="O166" s="4016"/>
      <c r="P166" s="4017"/>
      <c r="Q166" s="2964"/>
    </row>
    <row r="167" spans="1:31" ht="21.75" customHeight="1">
      <c r="A167" s="140" t="s">
        <v>2021</v>
      </c>
      <c r="B167" s="3963" t="s">
        <v>6447</v>
      </c>
      <c r="C167" s="3963"/>
      <c r="D167" s="3963"/>
      <c r="E167" s="3963"/>
      <c r="F167" s="3963"/>
      <c r="G167" s="3963"/>
      <c r="H167" s="3963"/>
      <c r="I167" s="3963"/>
      <c r="J167" s="3963"/>
      <c r="K167" s="3963"/>
      <c r="L167" s="3963"/>
      <c r="M167" s="3963"/>
      <c r="N167" s="3963"/>
      <c r="O167" s="159" t="s">
        <v>2021</v>
      </c>
      <c r="P167" s="2658" t="s">
        <v>6869</v>
      </c>
      <c r="Q167" s="2960"/>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11.45" customHeight="1">
      <c r="A169" s="3958" t="s">
        <v>6937</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61"/>
      <c r="Q173" s="3962"/>
    </row>
    <row r="174" spans="1:31" ht="21.75" customHeight="1">
      <c r="A174" s="140" t="s">
        <v>1893</v>
      </c>
      <c r="B174" s="3963" t="s">
        <v>3365</v>
      </c>
      <c r="C174" s="3963"/>
      <c r="D174" s="3963"/>
      <c r="E174" s="3963"/>
      <c r="F174" s="3963"/>
      <c r="G174" s="3963"/>
      <c r="H174" s="3963"/>
      <c r="I174" s="3963"/>
      <c r="J174" s="3963"/>
      <c r="K174" s="3963"/>
      <c r="L174" s="3963"/>
      <c r="M174" s="3963"/>
      <c r="N174" s="3963"/>
      <c r="O174" s="159" t="s">
        <v>1893</v>
      </c>
      <c r="P174" s="2502" t="s">
        <v>2769</v>
      </c>
      <c r="Q174" s="2965"/>
    </row>
    <row r="175" spans="1:31" ht="22.35" customHeight="1">
      <c r="A175" s="140" t="s">
        <v>1895</v>
      </c>
      <c r="B175" s="3963" t="s">
        <v>3958</v>
      </c>
      <c r="C175" s="3963"/>
      <c r="D175" s="3963"/>
      <c r="E175" s="3963"/>
      <c r="F175" s="3963"/>
      <c r="G175" s="3963"/>
      <c r="H175" s="3963"/>
      <c r="I175" s="3963"/>
      <c r="J175" s="3963"/>
      <c r="K175" s="3963"/>
      <c r="L175" s="3963"/>
      <c r="M175" s="3963"/>
      <c r="N175" s="3963"/>
      <c r="O175" s="159" t="s">
        <v>1895</v>
      </c>
      <c r="P175" s="2657" t="s">
        <v>6930</v>
      </c>
      <c r="Q175" s="2958"/>
    </row>
    <row r="176" spans="1:31" ht="22.35" customHeight="1">
      <c r="A176" s="140" t="s">
        <v>719</v>
      </c>
      <c r="B176" s="3963" t="s">
        <v>3366</v>
      </c>
      <c r="C176" s="3963"/>
      <c r="D176" s="3963"/>
      <c r="E176" s="3963"/>
      <c r="F176" s="3963"/>
      <c r="G176" s="3963"/>
      <c r="H176" s="3963"/>
      <c r="I176" s="3963"/>
      <c r="J176" s="3963"/>
      <c r="K176" s="3963"/>
      <c r="L176" s="3963"/>
      <c r="M176" s="3963"/>
      <c r="N176" s="3963"/>
      <c r="O176" s="159" t="s">
        <v>719</v>
      </c>
      <c r="P176" s="2657" t="s">
        <v>6930</v>
      </c>
      <c r="Q176" s="2958"/>
    </row>
    <row r="177" spans="1:32" ht="21.75" customHeight="1">
      <c r="A177" s="140" t="s">
        <v>2021</v>
      </c>
      <c r="B177" s="3963" t="s">
        <v>4006</v>
      </c>
      <c r="C177" s="3963"/>
      <c r="D177" s="3963"/>
      <c r="E177" s="3963"/>
      <c r="F177" s="3963"/>
      <c r="G177" s="3963"/>
      <c r="H177" s="3963"/>
      <c r="I177" s="3963"/>
      <c r="J177" s="3963"/>
      <c r="K177" s="3963"/>
      <c r="L177" s="3963"/>
      <c r="M177" s="3963"/>
      <c r="N177" s="3963"/>
      <c r="O177" s="159" t="s">
        <v>2021</v>
      </c>
      <c r="P177" s="2658" t="s">
        <v>6930</v>
      </c>
      <c r="Q177" s="2960"/>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11.45" customHeight="1">
      <c r="A179" s="3958" t="s">
        <v>6938</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75" t="s">
        <v>2516</v>
      </c>
      <c r="C183" s="3875"/>
      <c r="D183" s="3875"/>
      <c r="F183" s="380" t="s">
        <v>6377</v>
      </c>
      <c r="O183" s="130" t="s">
        <v>1781</v>
      </c>
      <c r="P183" s="3961"/>
      <c r="Q183" s="3962"/>
    </row>
    <row r="184" spans="1:32" s="27" customFormat="1" ht="11.45" customHeight="1">
      <c r="B184" s="55" t="s">
        <v>6448</v>
      </c>
      <c r="N184" s="119"/>
      <c r="P184" s="2489" t="s">
        <v>2772</v>
      </c>
      <c r="Q184" s="2964"/>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0"/>
    </row>
    <row r="186" spans="1:32" ht="12" customHeight="1">
      <c r="A186" s="140" t="s">
        <v>1895</v>
      </c>
      <c r="B186" s="773" t="s">
        <v>6333</v>
      </c>
      <c r="D186" s="773"/>
      <c r="E186" s="773"/>
      <c r="F186" s="773"/>
      <c r="G186" s="773"/>
      <c r="H186" s="773"/>
      <c r="I186" s="773"/>
      <c r="J186" s="773"/>
      <c r="K186" s="773"/>
      <c r="L186" s="773"/>
      <c r="M186" s="773"/>
      <c r="O186" s="159" t="s">
        <v>1895</v>
      </c>
      <c r="P186" s="2666" t="s">
        <v>2769</v>
      </c>
      <c r="Q186" s="2951"/>
    </row>
    <row r="187" spans="1:32" ht="12" customHeight="1">
      <c r="A187" s="140" t="s">
        <v>719</v>
      </c>
      <c r="B187" s="773" t="s">
        <v>2504</v>
      </c>
      <c r="D187" s="773"/>
      <c r="E187" s="773"/>
      <c r="F187" s="773"/>
      <c r="G187" s="773"/>
      <c r="H187" s="773"/>
      <c r="I187" s="773"/>
      <c r="J187" s="138" t="s">
        <v>4008</v>
      </c>
      <c r="L187" s="773"/>
      <c r="M187" s="773"/>
      <c r="O187" s="159" t="s">
        <v>719</v>
      </c>
      <c r="P187" s="2666" t="s">
        <v>2769</v>
      </c>
      <c r="Q187" s="2951"/>
    </row>
    <row r="188" spans="1:32" ht="12" customHeight="1">
      <c r="B188" s="40" t="s">
        <v>1658</v>
      </c>
      <c r="C188" s="783" t="s">
        <v>2505</v>
      </c>
      <c r="G188" s="773"/>
      <c r="H188" s="773"/>
      <c r="J188" s="773"/>
      <c r="K188" s="773"/>
      <c r="L188" s="773"/>
      <c r="M188" s="773"/>
      <c r="O188" s="425" t="s">
        <v>1658</v>
      </c>
      <c r="P188" s="2666" t="s">
        <v>2769</v>
      </c>
      <c r="Q188" s="2951"/>
    </row>
    <row r="189" spans="1:32" ht="12" customHeight="1">
      <c r="A189" s="138"/>
      <c r="B189" s="40" t="s">
        <v>1659</v>
      </c>
      <c r="C189" s="783" t="s">
        <v>2506</v>
      </c>
      <c r="G189" s="773"/>
      <c r="H189" s="773"/>
      <c r="I189" s="773"/>
      <c r="J189" s="773"/>
      <c r="K189" s="773"/>
      <c r="L189" s="773"/>
      <c r="M189" s="773"/>
      <c r="O189" s="425" t="s">
        <v>1659</v>
      </c>
      <c r="P189" s="2666" t="s">
        <v>2769</v>
      </c>
      <c r="Q189" s="2951"/>
    </row>
    <row r="190" spans="1:32" s="131" customFormat="1" ht="21.75" customHeight="1">
      <c r="A190" s="140"/>
      <c r="B190" s="451" t="s">
        <v>1660</v>
      </c>
      <c r="C190" s="3963" t="s">
        <v>3367</v>
      </c>
      <c r="D190" s="3963"/>
      <c r="E190" s="3963"/>
      <c r="F190" s="3963"/>
      <c r="G190" s="3963"/>
      <c r="H190" s="3963"/>
      <c r="I190" s="3963"/>
      <c r="J190" s="3963"/>
      <c r="K190" s="3963"/>
      <c r="L190" s="3963"/>
      <c r="M190" s="3963"/>
      <c r="N190" s="3963"/>
      <c r="O190" s="159" t="s">
        <v>1660</v>
      </c>
      <c r="P190" s="2657" t="s">
        <v>2769</v>
      </c>
      <c r="Q190" s="2958"/>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1"/>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57" t="s">
        <v>2769</v>
      </c>
      <c r="Q192" s="2958"/>
      <c r="AE192" s="442"/>
      <c r="AF192" s="442"/>
    </row>
    <row r="193" spans="1:32" s="131" customFormat="1" ht="21.75" customHeight="1">
      <c r="A193" s="140"/>
      <c r="B193" s="451" t="s">
        <v>1488</v>
      </c>
      <c r="C193" s="3963" t="s">
        <v>3444</v>
      </c>
      <c r="D193" s="3963"/>
      <c r="E193" s="3963"/>
      <c r="F193" s="3963"/>
      <c r="G193" s="3963"/>
      <c r="H193" s="3963"/>
      <c r="I193" s="3963"/>
      <c r="J193" s="3963"/>
      <c r="K193" s="3963"/>
      <c r="L193" s="3963"/>
      <c r="M193" s="3963"/>
      <c r="N193" s="3963"/>
      <c r="O193" s="159" t="s">
        <v>1488</v>
      </c>
      <c r="P193" s="2657" t="s">
        <v>6930</v>
      </c>
      <c r="Q193" s="2958"/>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57" t="s">
        <v>2769</v>
      </c>
      <c r="Q194" s="2958"/>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2"/>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22.5" customHeight="1">
      <c r="A197" s="3958" t="s">
        <v>7018</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6377</v>
      </c>
      <c r="G201" s="2655"/>
      <c r="J201" s="784"/>
      <c r="K201" s="784"/>
      <c r="L201" s="784"/>
      <c r="M201" s="784"/>
      <c r="N201" s="784"/>
      <c r="O201" s="130" t="s">
        <v>1781</v>
      </c>
      <c r="P201" s="3961"/>
      <c r="Q201" s="3962"/>
    </row>
    <row r="202" spans="1:32" s="27" customFormat="1" ht="12.75" customHeight="1">
      <c r="B202" s="55" t="s">
        <v>6448</v>
      </c>
      <c r="N202" s="119"/>
      <c r="P202" s="2489" t="s">
        <v>2772</v>
      </c>
      <c r="Q202" s="2964"/>
      <c r="AE202" s="115"/>
      <c r="AF202" s="115"/>
    </row>
    <row r="203" spans="1:32" ht="33.75" customHeight="1">
      <c r="B203" s="4164" t="s">
        <v>6334</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t="s">
        <v>6939</v>
      </c>
      <c r="K204" s="4029"/>
      <c r="L204" s="4029"/>
      <c r="M204" s="4029"/>
      <c r="N204" s="4030"/>
      <c r="O204" s="65" t="s">
        <v>1658</v>
      </c>
      <c r="P204" s="2492" t="s">
        <v>2772</v>
      </c>
      <c r="Q204" s="2950"/>
    </row>
    <row r="205" spans="1:32" ht="12.75" customHeight="1">
      <c r="A205" s="137"/>
      <c r="B205" s="139" t="s">
        <v>3371</v>
      </c>
      <c r="C205" s="103"/>
      <c r="D205" s="103"/>
      <c r="E205" s="103"/>
      <c r="F205" s="103"/>
      <c r="H205" s="65" t="s">
        <v>1659</v>
      </c>
      <c r="I205" s="52" t="s">
        <v>1530</v>
      </c>
      <c r="J205" s="3964" t="s">
        <v>6940</v>
      </c>
      <c r="K205" s="3965"/>
      <c r="L205" s="3965"/>
      <c r="M205" s="3965"/>
      <c r="N205" s="3966"/>
      <c r="O205" s="65" t="s">
        <v>1659</v>
      </c>
      <c r="P205" s="2671" t="s">
        <v>2769</v>
      </c>
      <c r="Q205" s="2952"/>
    </row>
    <row r="206" spans="1:32" ht="12.75" customHeight="1">
      <c r="A206" s="3958" t="s">
        <v>6944</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6378</v>
      </c>
      <c r="J210" s="2655"/>
      <c r="K210" s="2655"/>
      <c r="L210" s="2655"/>
      <c r="M210" s="2655"/>
      <c r="O210" s="130" t="s">
        <v>1781</v>
      </c>
      <c r="P210" s="3961"/>
      <c r="Q210" s="3962"/>
    </row>
    <row r="211" spans="1:32" s="27" customFormat="1" ht="12.75" customHeight="1">
      <c r="B211" s="55" t="s">
        <v>6448</v>
      </c>
      <c r="N211" s="119"/>
      <c r="P211" s="2489" t="s">
        <v>2772</v>
      </c>
      <c r="Q211" s="2964"/>
      <c r="AE211" s="115"/>
      <c r="AF211" s="115"/>
    </row>
    <row r="212" spans="1:32" ht="12.75" customHeight="1">
      <c r="A212" s="140" t="s">
        <v>1893</v>
      </c>
      <c r="B212" s="3963" t="s">
        <v>1763</v>
      </c>
      <c r="C212" s="3963"/>
      <c r="D212" s="3963"/>
      <c r="E212" s="3963"/>
      <c r="F212" s="3963"/>
      <c r="G212" s="3963"/>
      <c r="H212" s="65" t="s">
        <v>1658</v>
      </c>
      <c r="I212" s="52" t="s">
        <v>605</v>
      </c>
      <c r="J212" s="4028" t="s">
        <v>6941</v>
      </c>
      <c r="K212" s="4029"/>
      <c r="L212" s="4029"/>
      <c r="M212" s="4029"/>
      <c r="N212" s="4030"/>
      <c r="O212" s="159" t="s">
        <v>1427</v>
      </c>
      <c r="P212" s="2668" t="s">
        <v>2769</v>
      </c>
      <c r="Q212" s="2956"/>
    </row>
    <row r="213" spans="1:32" ht="12.75" customHeight="1">
      <c r="A213" s="148"/>
      <c r="B213" s="3963"/>
      <c r="C213" s="3963"/>
      <c r="D213" s="3963"/>
      <c r="E213" s="3963"/>
      <c r="F213" s="3963"/>
      <c r="G213" s="3963"/>
      <c r="H213" s="65" t="s">
        <v>1659</v>
      </c>
      <c r="I213" s="52" t="s">
        <v>109</v>
      </c>
      <c r="J213" s="3964" t="s">
        <v>6942</v>
      </c>
      <c r="K213" s="3965"/>
      <c r="L213" s="3965"/>
      <c r="M213" s="3965"/>
      <c r="N213" s="3966"/>
      <c r="O213" s="159" t="s">
        <v>1659</v>
      </c>
      <c r="P213" s="2666" t="s">
        <v>2769</v>
      </c>
      <c r="Q213" s="2951"/>
    </row>
    <row r="214" spans="1:32" ht="12.75" customHeight="1">
      <c r="A214" s="140" t="s">
        <v>1895</v>
      </c>
      <c r="B214" s="52" t="s">
        <v>3448</v>
      </c>
      <c r="D214" s="52"/>
      <c r="E214" s="52"/>
      <c r="F214" s="52"/>
      <c r="G214" s="52"/>
      <c r="H214" s="52"/>
      <c r="I214" s="52"/>
      <c r="J214" s="52"/>
      <c r="K214" s="42"/>
      <c r="L214" s="52"/>
      <c r="M214" s="52"/>
      <c r="O214" s="439" t="s">
        <v>1895</v>
      </c>
      <c r="P214" s="2666" t="s">
        <v>2769</v>
      </c>
      <c r="Q214" s="2951"/>
    </row>
    <row r="215" spans="1:32" ht="12.75" customHeight="1">
      <c r="A215" s="47" t="s">
        <v>719</v>
      </c>
      <c r="B215" s="52" t="s">
        <v>3449</v>
      </c>
      <c r="D215" s="52"/>
      <c r="E215" s="52"/>
      <c r="F215" s="52"/>
      <c r="G215" s="52"/>
      <c r="H215" s="52"/>
      <c r="I215" s="52"/>
      <c r="J215" s="52"/>
      <c r="K215" s="42"/>
      <c r="L215" s="52"/>
      <c r="M215" s="52"/>
      <c r="O215" s="439" t="s">
        <v>719</v>
      </c>
      <c r="P215" s="2671" t="s">
        <v>2772</v>
      </c>
      <c r="Q215" s="2952"/>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12.75" customHeight="1">
      <c r="A217" s="3958" t="s">
        <v>6943</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61"/>
      <c r="Q221" s="3962"/>
    </row>
    <row r="222" spans="1:32" s="27" customFormat="1" ht="12.75" customHeight="1">
      <c r="B222" s="143" t="s">
        <v>1147</v>
      </c>
      <c r="N222" s="119"/>
      <c r="P222" s="2489" t="s">
        <v>2772</v>
      </c>
      <c r="Q222" s="2964"/>
      <c r="AE222" s="115"/>
      <c r="AF222" s="115"/>
    </row>
    <row r="223" spans="1:32" ht="12.75" customHeight="1">
      <c r="A223" s="47" t="s">
        <v>1893</v>
      </c>
      <c r="B223" s="36" t="s">
        <v>4230</v>
      </c>
      <c r="D223" s="42"/>
      <c r="E223" s="42"/>
      <c r="F223" s="42"/>
      <c r="G223" s="42"/>
      <c r="H223" s="42"/>
      <c r="I223" s="42"/>
      <c r="J223" s="42"/>
      <c r="K223" s="42"/>
      <c r="L223" s="42"/>
      <c r="M223" s="42"/>
      <c r="O223" s="439" t="s">
        <v>1893</v>
      </c>
      <c r="P223" s="2489" t="s">
        <v>6928</v>
      </c>
      <c r="Q223" s="2950"/>
    </row>
    <row r="224" spans="1:32" ht="12.75" customHeight="1">
      <c r="A224" s="47"/>
      <c r="B224" s="144" t="s">
        <v>1658</v>
      </c>
      <c r="C224" s="52" t="s">
        <v>1842</v>
      </c>
      <c r="E224" s="52"/>
      <c r="F224" s="52"/>
      <c r="G224" s="52"/>
      <c r="H224" s="52"/>
      <c r="I224" s="42"/>
      <c r="J224" s="65" t="s">
        <v>1427</v>
      </c>
      <c r="K224" s="4028" t="s">
        <v>6946</v>
      </c>
      <c r="L224" s="4030"/>
      <c r="Q224" s="2951"/>
    </row>
    <row r="225" spans="1:32" ht="12.75" customHeight="1">
      <c r="A225" s="47"/>
      <c r="B225" s="144" t="s">
        <v>1659</v>
      </c>
      <c r="C225" s="783" t="s">
        <v>3944</v>
      </c>
      <c r="E225" s="783"/>
      <c r="F225" s="783"/>
      <c r="G225" s="783"/>
      <c r="H225" s="783"/>
      <c r="I225" s="42"/>
      <c r="J225" s="65" t="s">
        <v>1428</v>
      </c>
      <c r="K225" s="4021" t="s">
        <v>6945</v>
      </c>
      <c r="L225" s="4022"/>
      <c r="M225" s="4165" t="s">
        <v>6449</v>
      </c>
      <c r="N225" s="4166"/>
      <c r="O225" s="4166"/>
      <c r="P225" s="4167"/>
      <c r="Q225" s="2951"/>
    </row>
    <row r="226" spans="1:32" ht="12.75" customHeight="1">
      <c r="A226" s="47"/>
      <c r="B226" s="40" t="s">
        <v>1660</v>
      </c>
      <c r="C226" s="783" t="s">
        <v>3945</v>
      </c>
      <c r="D226" s="146"/>
      <c r="E226" s="783"/>
      <c r="F226" s="783"/>
      <c r="G226" s="783"/>
      <c r="H226" s="783"/>
      <c r="I226" s="93"/>
      <c r="J226" s="439" t="s">
        <v>1429</v>
      </c>
      <c r="K226" s="3964" t="s">
        <v>7011</v>
      </c>
      <c r="L226" s="3965"/>
      <c r="M226" s="3965"/>
      <c r="N226" s="3966"/>
      <c r="O226" s="1601"/>
      <c r="P226" s="987"/>
      <c r="Q226" s="2952"/>
      <c r="R226" s="42"/>
    </row>
    <row r="227" spans="1:32" ht="12.75" customHeight="1">
      <c r="A227" s="47" t="s">
        <v>1895</v>
      </c>
      <c r="B227" s="52" t="s">
        <v>4231</v>
      </c>
      <c r="D227" s="52"/>
      <c r="E227" s="52"/>
      <c r="F227" s="52"/>
      <c r="G227" s="52"/>
      <c r="H227" s="52"/>
      <c r="I227" s="52"/>
      <c r="J227" s="52"/>
      <c r="K227" s="42"/>
      <c r="L227" s="42"/>
      <c r="M227" s="42"/>
      <c r="N227" s="42"/>
      <c r="O227" s="439" t="s">
        <v>1895</v>
      </c>
      <c r="P227" s="2489" t="s">
        <v>6928</v>
      </c>
      <c r="Q227" s="2964"/>
    </row>
    <row r="228" spans="1:32" ht="12.75" customHeight="1">
      <c r="A228" s="47"/>
      <c r="B228" s="52" t="s">
        <v>4032</v>
      </c>
      <c r="D228" s="52"/>
      <c r="E228" s="52"/>
      <c r="F228" s="52"/>
      <c r="G228" s="52"/>
      <c r="H228" s="52"/>
      <c r="I228" s="52"/>
      <c r="J228" s="52"/>
      <c r="K228" s="42"/>
      <c r="L228" s="42"/>
      <c r="M228" s="42"/>
      <c r="N228" s="439" t="s">
        <v>3272</v>
      </c>
      <c r="O228" s="1312">
        <f>'Part VI-Revenues &amp; Expenses'!$P$67</f>
        <v>95</v>
      </c>
      <c r="P228" s="4047" t="s">
        <v>4034</v>
      </c>
      <c r="Q228" s="4048"/>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049" t="s">
        <v>4088</v>
      </c>
      <c r="D230" s="4050"/>
      <c r="E230" s="4050"/>
      <c r="F230" s="4050"/>
      <c r="G230" s="4051"/>
      <c r="H230" s="439" t="s">
        <v>2022</v>
      </c>
      <c r="I230" s="4052" t="s">
        <v>3552</v>
      </c>
      <c r="J230" s="4053"/>
      <c r="K230" s="4053"/>
      <c r="L230" s="4053"/>
      <c r="M230" s="4053"/>
      <c r="N230" s="4053"/>
      <c r="O230" s="4054"/>
      <c r="P230" s="2950"/>
      <c r="Q230" s="2966"/>
      <c r="AE230" s="54"/>
      <c r="AF230" s="54"/>
    </row>
    <row r="231" spans="1:32" s="43" customFormat="1" ht="12.75" customHeight="1">
      <c r="A231" s="51"/>
      <c r="B231" s="439" t="s">
        <v>2023</v>
      </c>
      <c r="C231" s="4018" t="s">
        <v>4089</v>
      </c>
      <c r="D231" s="4019"/>
      <c r="E231" s="4019"/>
      <c r="F231" s="4019"/>
      <c r="G231" s="4020"/>
      <c r="H231" s="439" t="s">
        <v>2023</v>
      </c>
      <c r="I231" s="3421"/>
      <c r="J231" s="3372"/>
      <c r="K231" s="3372"/>
      <c r="L231" s="3372"/>
      <c r="M231" s="3372"/>
      <c r="N231" s="3372"/>
      <c r="O231" s="3373"/>
      <c r="P231" s="2951"/>
      <c r="Q231" s="2967"/>
      <c r="AE231" s="54"/>
      <c r="AF231" s="54"/>
    </row>
    <row r="232" spans="1:32" s="43" customFormat="1" ht="12.75" customHeight="1">
      <c r="A232" s="51"/>
      <c r="B232" s="439" t="s">
        <v>1655</v>
      </c>
      <c r="C232" s="4018" t="s">
        <v>975</v>
      </c>
      <c r="D232" s="4019"/>
      <c r="E232" s="4019"/>
      <c r="F232" s="4019"/>
      <c r="G232" s="4020"/>
      <c r="H232" s="439" t="s">
        <v>1655</v>
      </c>
      <c r="I232" s="3421" t="s">
        <v>3552</v>
      </c>
      <c r="J232" s="3372"/>
      <c r="K232" s="3372"/>
      <c r="L232" s="3372"/>
      <c r="M232" s="3372"/>
      <c r="N232" s="3372"/>
      <c r="O232" s="3373"/>
      <c r="P232" s="2951"/>
      <c r="Q232" s="2967"/>
      <c r="AE232" s="54"/>
      <c r="AF232" s="54"/>
    </row>
    <row r="233" spans="1:32" s="43" customFormat="1" ht="12.75" customHeight="1">
      <c r="A233" s="51"/>
      <c r="B233" s="439" t="s">
        <v>4044</v>
      </c>
      <c r="C233" s="3990" t="s">
        <v>975</v>
      </c>
      <c r="D233" s="3991"/>
      <c r="E233" s="3991"/>
      <c r="F233" s="3991"/>
      <c r="G233" s="3992"/>
      <c r="H233" s="439" t="s">
        <v>4044</v>
      </c>
      <c r="I233" s="3410"/>
      <c r="J233" s="3369"/>
      <c r="K233" s="3369"/>
      <c r="L233" s="3369"/>
      <c r="M233" s="3369"/>
      <c r="N233" s="3369"/>
      <c r="O233" s="3370"/>
      <c r="P233" s="2952"/>
      <c r="Q233" s="2968"/>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6928</v>
      </c>
      <c r="Q234" s="2950"/>
    </row>
    <row r="235" spans="1:32" ht="12.75" customHeight="1">
      <c r="A235" s="47"/>
      <c r="B235" s="144" t="s">
        <v>1658</v>
      </c>
      <c r="C235" s="52" t="s">
        <v>3194</v>
      </c>
      <c r="E235" s="52"/>
      <c r="F235" s="52"/>
      <c r="L235" s="33"/>
      <c r="M235" s="33"/>
      <c r="O235" s="65" t="s">
        <v>1658</v>
      </c>
      <c r="P235" s="2666" t="s">
        <v>2769</v>
      </c>
      <c r="Q235" s="2951"/>
    </row>
    <row r="236" spans="1:32" ht="12.75" customHeight="1">
      <c r="B236" s="144" t="s">
        <v>1659</v>
      </c>
      <c r="C236" s="783" t="s">
        <v>2614</v>
      </c>
      <c r="E236" s="783"/>
      <c r="F236" s="783"/>
      <c r="L236" s="33"/>
      <c r="M236" s="33"/>
      <c r="O236" s="65" t="s">
        <v>1659</v>
      </c>
      <c r="P236" s="2666" t="s">
        <v>2769</v>
      </c>
      <c r="Q236" s="2951"/>
    </row>
    <row r="237" spans="1:32" ht="12.75" customHeight="1">
      <c r="B237" s="144" t="s">
        <v>1660</v>
      </c>
      <c r="C237" s="783" t="s">
        <v>6335</v>
      </c>
      <c r="E237" s="783"/>
      <c r="F237" s="783"/>
      <c r="G237" s="783"/>
      <c r="H237" s="783"/>
      <c r="I237" s="42"/>
      <c r="J237" s="33"/>
      <c r="K237" s="42"/>
      <c r="L237" s="33"/>
      <c r="M237" s="33"/>
      <c r="O237" s="65" t="s">
        <v>1660</v>
      </c>
      <c r="P237" s="2666" t="s">
        <v>2769</v>
      </c>
      <c r="Q237" s="2951"/>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1"/>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1"/>
    </row>
    <row r="240" spans="1:32" ht="23.25" customHeight="1">
      <c r="A240" s="47"/>
      <c r="B240" s="451" t="s">
        <v>1488</v>
      </c>
      <c r="C240" s="4006" t="s">
        <v>6450</v>
      </c>
      <c r="D240" s="4006"/>
      <c r="E240" s="4006"/>
      <c r="F240" s="4006"/>
      <c r="G240" s="4006"/>
      <c r="H240" s="4006"/>
      <c r="I240" s="4006"/>
      <c r="J240" s="4006"/>
      <c r="K240" s="4006"/>
      <c r="L240" s="4006"/>
      <c r="M240" s="4006"/>
      <c r="N240" s="4006"/>
      <c r="O240" s="159" t="s">
        <v>1488</v>
      </c>
      <c r="P240" s="2658" t="s">
        <v>2769</v>
      </c>
      <c r="Q240" s="2960"/>
    </row>
    <row r="241" spans="1:32" ht="12" customHeight="1">
      <c r="A241" s="47" t="s">
        <v>2021</v>
      </c>
      <c r="B241" s="52" t="s">
        <v>6311</v>
      </c>
      <c r="C241" s="52"/>
      <c r="E241" s="52"/>
      <c r="F241" s="52"/>
      <c r="G241" s="52"/>
      <c r="H241" s="52"/>
      <c r="I241" s="52"/>
      <c r="J241" s="52"/>
      <c r="K241" s="42"/>
      <c r="M241" s="1292" t="str">
        <f>'Part I-Project Information'!$H$77</f>
        <v>Family</v>
      </c>
      <c r="O241" s="439" t="s">
        <v>2021</v>
      </c>
      <c r="P241" s="2492" t="s">
        <v>931</v>
      </c>
      <c r="Q241" s="2950"/>
    </row>
    <row r="242" spans="1:32" ht="12" customHeight="1">
      <c r="B242" s="144" t="s">
        <v>1658</v>
      </c>
      <c r="C242" s="39" t="s">
        <v>1209</v>
      </c>
      <c r="E242" s="42"/>
      <c r="F242" s="42"/>
      <c r="G242" s="39"/>
      <c r="H242" s="783"/>
      <c r="I242" s="42"/>
      <c r="J242" s="783"/>
      <c r="K242" s="42"/>
      <c r="L242" s="783"/>
      <c r="M242" s="783"/>
      <c r="O242" s="65" t="s">
        <v>1658</v>
      </c>
      <c r="P242" s="2666" t="s">
        <v>2772</v>
      </c>
      <c r="Q242" s="2951"/>
    </row>
    <row r="243" spans="1:32" ht="12" customHeight="1">
      <c r="B243" s="144" t="s">
        <v>1659</v>
      </c>
      <c r="C243" s="36" t="s">
        <v>3959</v>
      </c>
      <c r="E243" s="42"/>
      <c r="F243" s="42"/>
      <c r="G243" s="783"/>
      <c r="H243" s="783"/>
      <c r="I243" s="42"/>
      <c r="J243" s="783"/>
      <c r="K243" s="42"/>
      <c r="L243" s="783"/>
      <c r="M243" s="783"/>
      <c r="O243" s="65" t="s">
        <v>1659</v>
      </c>
      <c r="P243" s="2671" t="s">
        <v>2772</v>
      </c>
      <c r="Q243" s="2952"/>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18" customHeight="1">
      <c r="A245" s="3958" t="s">
        <v>7012</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50" t="s">
        <v>2605</v>
      </c>
      <c r="B248" s="2650" t="s">
        <v>6336</v>
      </c>
      <c r="C248" s="40"/>
      <c r="D248" s="2655"/>
      <c r="E248" s="2655"/>
      <c r="F248" s="2655"/>
      <c r="G248" s="2655"/>
      <c r="H248" s="2655"/>
      <c r="I248" s="2655"/>
      <c r="J248" s="2655"/>
      <c r="K248" s="1409" t="s">
        <v>431</v>
      </c>
      <c r="L248" s="1409" t="str">
        <f>'Part I-Project Information'!$N$40</f>
        <v>No</v>
      </c>
      <c r="M248" s="2655"/>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39" t="s">
        <v>6340</v>
      </c>
      <c r="K250" s="52" t="s">
        <v>6341</v>
      </c>
      <c r="L250" s="42"/>
      <c r="M250" s="42"/>
      <c r="N250" s="42"/>
      <c r="O250" s="42"/>
      <c r="P250" s="42"/>
      <c r="Q250" s="2639" t="s">
        <v>6340</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8"/>
      <c r="Q259" s="2956"/>
    </row>
    <row r="260" spans="1:32" s="403" customFormat="1" ht="23.25" customHeight="1">
      <c r="A260" s="140" t="s">
        <v>719</v>
      </c>
      <c r="B260" s="3963" t="s">
        <v>6338</v>
      </c>
      <c r="C260" s="3963"/>
      <c r="D260" s="3963"/>
      <c r="E260" s="3963"/>
      <c r="F260" s="3963"/>
      <c r="G260" s="3963"/>
      <c r="H260" s="3963"/>
      <c r="I260" s="3963"/>
      <c r="J260" s="3963"/>
      <c r="K260" s="3963"/>
      <c r="L260" s="3963"/>
      <c r="M260" s="3963"/>
      <c r="N260" s="3963"/>
      <c r="O260" s="159" t="s">
        <v>719</v>
      </c>
      <c r="P260" s="2657"/>
      <c r="Q260" s="2958"/>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58"/>
      <c r="Q261" s="2960"/>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58" t="s">
        <v>6939</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4150</v>
      </c>
      <c r="C267" s="4"/>
      <c r="D267" s="86"/>
      <c r="E267" s="86"/>
      <c r="F267" s="86"/>
      <c r="G267" s="86"/>
      <c r="H267" s="2655"/>
      <c r="I267" s="2655"/>
      <c r="J267" s="2655"/>
      <c r="K267" s="2655"/>
      <c r="L267" s="1343"/>
      <c r="M267" s="1344"/>
      <c r="O267" s="130" t="s">
        <v>1781</v>
      </c>
      <c r="P267" s="3961"/>
      <c r="Q267" s="3962"/>
    </row>
    <row r="268" spans="1:32" s="27" customFormat="1" ht="12" customHeight="1">
      <c r="B268" s="55" t="s">
        <v>6451</v>
      </c>
      <c r="N268" s="119"/>
      <c r="P268" s="2489"/>
      <c r="Q268" s="2964"/>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6452</v>
      </c>
      <c r="C270" s="3950"/>
      <c r="D270" s="3950"/>
      <c r="E270" s="3950"/>
      <c r="F270" s="3950"/>
      <c r="G270" s="3950"/>
      <c r="H270" s="3950"/>
      <c r="I270" s="3950"/>
      <c r="J270" s="3950"/>
      <c r="K270" s="3950"/>
      <c r="L270" s="3950"/>
      <c r="M270" s="3950"/>
      <c r="N270" s="3950"/>
      <c r="O270" s="3976"/>
      <c r="P270" s="2506"/>
      <c r="Q270" s="2969"/>
      <c r="AE270" s="115"/>
      <c r="AF270" s="115"/>
    </row>
    <row r="271" spans="1:32" ht="12" customHeight="1">
      <c r="A271" s="47" t="s">
        <v>1895</v>
      </c>
      <c r="B271" s="52" t="s">
        <v>2617</v>
      </c>
      <c r="D271" s="52"/>
      <c r="E271" s="52"/>
      <c r="F271" s="52"/>
      <c r="J271" s="439" t="s">
        <v>1895</v>
      </c>
      <c r="K271" s="4129"/>
      <c r="L271" s="4130"/>
      <c r="M271" s="4130"/>
      <c r="N271" s="4130"/>
      <c r="O271" s="4131"/>
      <c r="P271" s="4125"/>
      <c r="Q271" s="4126"/>
    </row>
    <row r="272" spans="1:32" s="146" customFormat="1" ht="12" customHeight="1">
      <c r="A272" s="47"/>
      <c r="B272" s="2655"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5" t="s">
        <v>1659</v>
      </c>
      <c r="C273" s="52" t="s">
        <v>6453</v>
      </c>
      <c r="D273" s="52"/>
      <c r="E273" s="52"/>
      <c r="F273" s="52"/>
      <c r="G273" s="52"/>
      <c r="H273" s="52"/>
      <c r="I273" s="93"/>
      <c r="J273" s="93"/>
      <c r="M273" s="36"/>
      <c r="N273" s="896"/>
      <c r="O273" s="65" t="s">
        <v>1659</v>
      </c>
      <c r="P273" s="2500"/>
      <c r="Q273" s="2962"/>
      <c r="AE273" s="443"/>
      <c r="AF273" s="443"/>
    </row>
    <row r="274" spans="1:32" s="146" customFormat="1" ht="34.5" customHeight="1">
      <c r="A274" s="47"/>
      <c r="B274" s="2655" t="s">
        <v>1660</v>
      </c>
      <c r="C274" s="3963" t="s">
        <v>6463</v>
      </c>
      <c r="D274" s="3963"/>
      <c r="E274" s="3963"/>
      <c r="F274" s="3963"/>
      <c r="G274" s="3963"/>
      <c r="H274" s="3963"/>
      <c r="I274" s="3963"/>
      <c r="J274" s="3963"/>
      <c r="K274" s="3963"/>
      <c r="L274" s="3963"/>
      <c r="M274" s="3963"/>
      <c r="N274" s="3963"/>
      <c r="O274" s="147" t="s">
        <v>1660</v>
      </c>
      <c r="P274" s="2664"/>
      <c r="Q274" s="2970"/>
      <c r="AE274" s="443"/>
      <c r="AF274" s="443"/>
    </row>
    <row r="275" spans="1:32" s="146" customFormat="1" ht="24" customHeight="1">
      <c r="A275" s="47"/>
      <c r="B275" s="2655" t="s">
        <v>2260</v>
      </c>
      <c r="C275" s="3963" t="s">
        <v>6464</v>
      </c>
      <c r="D275" s="3963"/>
      <c r="E275" s="3963"/>
      <c r="F275" s="3963"/>
      <c r="G275" s="3963"/>
      <c r="H275" s="3963"/>
      <c r="I275" s="3963"/>
      <c r="J275" s="3963"/>
      <c r="K275" s="3963"/>
      <c r="L275" s="3963"/>
      <c r="M275" s="3963"/>
      <c r="N275" s="3963"/>
      <c r="O275" s="159" t="s">
        <v>2260</v>
      </c>
      <c r="P275" s="2658"/>
      <c r="Q275" s="2960"/>
      <c r="AE275" s="443"/>
      <c r="AF275" s="443"/>
    </row>
    <row r="276" spans="1:32" s="146" customFormat="1" ht="12" customHeight="1">
      <c r="A276" s="47" t="s">
        <v>719</v>
      </c>
      <c r="B276" s="52" t="s">
        <v>3450</v>
      </c>
      <c r="D276" s="52"/>
      <c r="E276" s="52"/>
      <c r="F276" s="52"/>
      <c r="G276" s="52"/>
      <c r="H276" s="52"/>
      <c r="I276" s="93"/>
      <c r="J276" s="93"/>
      <c r="K276" s="93"/>
      <c r="M276" s="36"/>
      <c r="N276" s="896"/>
      <c r="P276" s="2492"/>
      <c r="Q276" s="2950"/>
      <c r="AE276" s="443"/>
      <c r="AF276" s="443"/>
    </row>
    <row r="277" spans="1:32" s="146" customFormat="1" ht="12" customHeight="1">
      <c r="A277" s="47"/>
      <c r="B277" s="3963" t="s">
        <v>3376</v>
      </c>
      <c r="C277" s="3963"/>
      <c r="D277" s="3963"/>
      <c r="E277" s="3963"/>
      <c r="F277" s="3963"/>
      <c r="G277" s="3963"/>
      <c r="H277" s="418" t="s">
        <v>3531</v>
      </c>
      <c r="K277" s="93"/>
      <c r="M277" s="36"/>
      <c r="N277" s="896"/>
      <c r="O277" s="65" t="s">
        <v>1658</v>
      </c>
      <c r="P277" s="2666"/>
      <c r="Q277" s="2951"/>
      <c r="AE277" s="443"/>
      <c r="AF277" s="443"/>
    </row>
    <row r="278" spans="1:32" s="146" customFormat="1" ht="12" customHeight="1">
      <c r="A278" s="47"/>
      <c r="B278" s="3963"/>
      <c r="C278" s="3963"/>
      <c r="D278" s="3963"/>
      <c r="E278" s="3963"/>
      <c r="F278" s="3963"/>
      <c r="G278" s="3963"/>
      <c r="H278" s="55" t="s">
        <v>3532</v>
      </c>
      <c r="K278" s="93"/>
      <c r="M278" s="36"/>
      <c r="N278" s="896"/>
      <c r="O278" s="65" t="s">
        <v>1659</v>
      </c>
      <c r="P278" s="2666"/>
      <c r="Q278" s="2951"/>
      <c r="AE278" s="443"/>
      <c r="AF278" s="443"/>
    </row>
    <row r="279" spans="1:32" s="146" customFormat="1" ht="12" customHeight="1">
      <c r="A279" s="47"/>
      <c r="B279" s="52"/>
      <c r="D279" s="52"/>
      <c r="E279" s="52"/>
      <c r="F279" s="52"/>
      <c r="G279" s="52"/>
      <c r="H279" s="55" t="s">
        <v>3533</v>
      </c>
      <c r="K279" s="93"/>
      <c r="M279" s="36"/>
      <c r="N279" s="896"/>
      <c r="O279" s="65" t="s">
        <v>1660</v>
      </c>
      <c r="P279" s="2666"/>
      <c r="Q279" s="2951"/>
      <c r="AE279" s="443"/>
      <c r="AF279" s="443"/>
    </row>
    <row r="280" spans="1:32" s="146" customFormat="1" ht="12" customHeight="1">
      <c r="A280" s="47"/>
      <c r="B280" s="52"/>
      <c r="D280" s="52"/>
      <c r="E280" s="52"/>
      <c r="F280" s="52"/>
      <c r="G280" s="52"/>
      <c r="H280" s="55" t="s">
        <v>3534</v>
      </c>
      <c r="K280" s="93"/>
      <c r="M280" s="36"/>
      <c r="N280" s="896"/>
      <c r="O280" s="439" t="s">
        <v>2260</v>
      </c>
      <c r="P280" s="2666"/>
      <c r="Q280" s="2951"/>
      <c r="AE280" s="443"/>
      <c r="AF280" s="443"/>
    </row>
    <row r="281" spans="1:32" s="146" customFormat="1" ht="23.25" customHeight="1">
      <c r="B281" s="784" t="s">
        <v>6821</v>
      </c>
      <c r="C281" s="3963" t="s">
        <v>6820</v>
      </c>
      <c r="D281" s="3963"/>
      <c r="E281" s="3963"/>
      <c r="F281" s="3963"/>
      <c r="G281" s="3963"/>
      <c r="H281" s="3963"/>
      <c r="I281" s="3963"/>
      <c r="J281" s="3963"/>
      <c r="K281" s="3963"/>
      <c r="L281" s="3963"/>
      <c r="M281" s="3963"/>
      <c r="N281" s="3963"/>
      <c r="O281" s="159" t="s">
        <v>1487</v>
      </c>
      <c r="P281" s="2658"/>
      <c r="Q281" s="2960"/>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58" t="s">
        <v>6939</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3519</v>
      </c>
      <c r="B287" s="4" t="s">
        <v>2520</v>
      </c>
      <c r="C287" s="4"/>
      <c r="D287" s="86"/>
      <c r="E287" s="86"/>
      <c r="F287" s="86"/>
      <c r="G287" s="86"/>
      <c r="H287" s="2655"/>
      <c r="I287" s="2655"/>
      <c r="J287" s="2655"/>
      <c r="K287" s="2655"/>
      <c r="L287" s="2655"/>
      <c r="M287" s="2655"/>
      <c r="O287" s="130" t="s">
        <v>1781</v>
      </c>
      <c r="P287" s="3961"/>
      <c r="Q287" s="3962"/>
    </row>
    <row r="288" spans="1:32" s="403" customFormat="1" ht="21.75" customHeight="1">
      <c r="A288" s="140" t="s">
        <v>1893</v>
      </c>
      <c r="B288" s="2655" t="s">
        <v>1658</v>
      </c>
      <c r="C288" s="3963" t="s">
        <v>4232</v>
      </c>
      <c r="D288" s="3963"/>
      <c r="E288" s="3963"/>
      <c r="F288" s="3963"/>
      <c r="G288" s="3963"/>
      <c r="H288" s="3963"/>
      <c r="I288" s="3963"/>
      <c r="J288" s="3963"/>
      <c r="K288" s="3963"/>
      <c r="L288" s="3963"/>
      <c r="M288" s="3963"/>
      <c r="N288" s="3963"/>
      <c r="O288" s="1490" t="s">
        <v>1427</v>
      </c>
      <c r="P288" s="2502" t="s">
        <v>2769</v>
      </c>
      <c r="Q288" s="2965"/>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2769</v>
      </c>
      <c r="Q289" s="2952"/>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1" t="s">
        <v>2769</v>
      </c>
      <c r="Q290" s="2952"/>
      <c r="AE290" s="443"/>
      <c r="AF290" s="443"/>
    </row>
    <row r="291" spans="1:32" s="403" customFormat="1" ht="23.25" customHeight="1">
      <c r="A291" s="140" t="s">
        <v>719</v>
      </c>
      <c r="B291" s="2655" t="s">
        <v>1658</v>
      </c>
      <c r="C291" s="3963" t="s">
        <v>4259</v>
      </c>
      <c r="D291" s="3963"/>
      <c r="E291" s="3963"/>
      <c r="F291" s="3963"/>
      <c r="G291" s="3963"/>
      <c r="H291" s="3963"/>
      <c r="I291" s="3963"/>
      <c r="J291" s="3963"/>
      <c r="K291" s="3963"/>
      <c r="L291" s="3963"/>
      <c r="M291" s="3963"/>
      <c r="N291" s="3963"/>
      <c r="O291" s="1490" t="s">
        <v>4260</v>
      </c>
      <c r="P291" s="2502" t="s">
        <v>2769</v>
      </c>
      <c r="Q291" s="2965"/>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2769</v>
      </c>
      <c r="Q292" s="2952"/>
      <c r="AE292" s="443"/>
      <c r="AF292" s="443"/>
    </row>
    <row r="293" spans="1:32" s="146" customFormat="1" ht="22.5" customHeight="1">
      <c r="A293" s="140" t="s">
        <v>2021</v>
      </c>
      <c r="B293" s="3963" t="s">
        <v>6343</v>
      </c>
      <c r="C293" s="3963"/>
      <c r="D293" s="3963"/>
      <c r="E293" s="3963"/>
      <c r="F293" s="3963"/>
      <c r="G293" s="3963"/>
      <c r="H293" s="3963"/>
      <c r="I293" s="3963"/>
      <c r="J293" s="3963"/>
      <c r="K293" s="3963"/>
      <c r="L293" s="3963"/>
      <c r="M293" s="3963"/>
      <c r="N293" s="3963"/>
      <c r="O293" s="159" t="s">
        <v>2021</v>
      </c>
      <c r="P293" s="2658" t="s">
        <v>2769</v>
      </c>
      <c r="Q293" s="2960"/>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25.5" customHeight="1">
      <c r="A295" s="3958" t="s">
        <v>6947</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50" t="s">
        <v>3520</v>
      </c>
      <c r="B299" s="2650" t="s">
        <v>2521</v>
      </c>
      <c r="C299" s="2650"/>
      <c r="D299" s="2655"/>
      <c r="E299" s="2655"/>
      <c r="F299" s="2655"/>
      <c r="G299" s="2655"/>
      <c r="H299" s="2655"/>
      <c r="I299" s="2655"/>
      <c r="J299" s="2655"/>
      <c r="K299" s="2655"/>
      <c r="L299" s="2655"/>
      <c r="M299" s="2655"/>
      <c r="O299" s="130" t="s">
        <v>1781</v>
      </c>
      <c r="P299" s="3961"/>
      <c r="Q299" s="3962"/>
    </row>
    <row r="300" spans="1:32" s="27" customFormat="1" ht="11.45" customHeight="1">
      <c r="B300" s="55" t="s">
        <v>6451</v>
      </c>
      <c r="N300" s="119"/>
      <c r="P300" s="2489" t="s">
        <v>2772</v>
      </c>
      <c r="Q300" s="2964"/>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63" t="s">
        <v>4025</v>
      </c>
      <c r="D302" s="3963"/>
      <c r="E302" s="3963"/>
      <c r="F302" s="3963"/>
      <c r="G302" s="3963"/>
      <c r="H302" s="3963"/>
      <c r="I302" s="3963"/>
      <c r="J302" s="3963"/>
      <c r="K302" s="3963"/>
      <c r="L302" s="3963"/>
      <c r="M302" s="3963"/>
      <c r="N302" s="3963"/>
      <c r="O302" s="1490" t="s">
        <v>1658</v>
      </c>
      <c r="P302" s="2502" t="s">
        <v>6928</v>
      </c>
      <c r="Q302" s="2965"/>
      <c r="AE302" s="444"/>
      <c r="AF302" s="444"/>
    </row>
    <row r="303" spans="1:32" s="403" customFormat="1" ht="21.75" customHeight="1">
      <c r="A303" s="140"/>
      <c r="B303" s="784" t="s">
        <v>1659</v>
      </c>
      <c r="C303" s="3963" t="s">
        <v>2618</v>
      </c>
      <c r="D303" s="3963"/>
      <c r="E303" s="3963"/>
      <c r="F303" s="3963"/>
      <c r="G303" s="3963"/>
      <c r="H303" s="3963"/>
      <c r="I303" s="3963"/>
      <c r="J303" s="3963"/>
      <c r="K303" s="3963"/>
      <c r="L303" s="3963"/>
      <c r="M303" s="3963"/>
      <c r="N303" s="3963"/>
      <c r="O303" s="1490" t="s">
        <v>1659</v>
      </c>
      <c r="P303" s="2658" t="s">
        <v>6928</v>
      </c>
      <c r="Q303" s="2960"/>
      <c r="AE303" s="444"/>
      <c r="AF303" s="444"/>
    </row>
    <row r="304" spans="1:32" s="27" customFormat="1" ht="12.75" customHeight="1">
      <c r="A304" s="137" t="s">
        <v>1895</v>
      </c>
      <c r="B304" s="175" t="s">
        <v>299</v>
      </c>
      <c r="C304" s="157"/>
      <c r="D304" s="522"/>
      <c r="E304" s="522"/>
      <c r="F304" s="157"/>
      <c r="J304" s="439" t="s">
        <v>1895</v>
      </c>
      <c r="K304" s="4101" t="s">
        <v>3385</v>
      </c>
      <c r="L304" s="4102"/>
      <c r="M304" s="4102"/>
      <c r="N304" s="4102"/>
      <c r="O304" s="4102"/>
      <c r="P304" s="4103"/>
      <c r="Q304" s="2971"/>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6928</v>
      </c>
      <c r="Q306" s="2971"/>
      <c r="R306" s="439"/>
    </row>
    <row r="307" spans="1:32" s="101" customFormat="1" ht="11.45" customHeight="1">
      <c r="A307" s="42"/>
      <c r="B307" s="139" t="s">
        <v>3371</v>
      </c>
      <c r="C307" s="42"/>
      <c r="D307" s="48"/>
      <c r="E307" s="48"/>
      <c r="F307" s="48"/>
      <c r="G307" s="48"/>
      <c r="K307" s="36"/>
      <c r="M307" s="46"/>
      <c r="N307" s="6"/>
      <c r="O307" s="3"/>
      <c r="P307" s="2648"/>
    </row>
    <row r="308" spans="1:32" s="43" customFormat="1" ht="27.75" customHeight="1">
      <c r="A308" s="3958" t="s">
        <v>6948</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3518</v>
      </c>
      <c r="B312" s="2650" t="s">
        <v>2522</v>
      </c>
      <c r="C312" s="2649"/>
      <c r="D312" s="2656"/>
      <c r="E312" s="2655"/>
      <c r="F312" s="2655"/>
      <c r="G312" s="2655"/>
      <c r="H312" s="2655"/>
      <c r="I312" s="2655"/>
      <c r="J312" s="2655"/>
      <c r="K312" s="2655"/>
      <c r="L312" s="2655"/>
      <c r="M312" s="2655"/>
      <c r="O312" s="130" t="s">
        <v>1781</v>
      </c>
      <c r="P312" s="3961"/>
      <c r="Q312" s="3962"/>
    </row>
    <row r="313" spans="1:32" s="27" customFormat="1" ht="11.45" customHeight="1">
      <c r="B313" s="55" t="s">
        <v>6451</v>
      </c>
      <c r="N313" s="119"/>
      <c r="P313" s="2489" t="s">
        <v>2772</v>
      </c>
      <c r="Q313" s="2964"/>
      <c r="AE313" s="115"/>
      <c r="AF313" s="115"/>
    </row>
    <row r="314" spans="1:32" ht="12.75" customHeight="1">
      <c r="A314" s="137" t="s">
        <v>1893</v>
      </c>
      <c r="B314" s="177" t="s">
        <v>3535</v>
      </c>
    </row>
    <row r="315" spans="1:32" s="146" customFormat="1" ht="44.25" customHeight="1">
      <c r="A315" s="140"/>
      <c r="B315" s="1305" t="s">
        <v>1658</v>
      </c>
      <c r="C315" s="3963" t="s">
        <v>3451</v>
      </c>
      <c r="D315" s="3963"/>
      <c r="E315" s="3963"/>
      <c r="F315" s="3963"/>
      <c r="G315" s="3963"/>
      <c r="H315" s="3963"/>
      <c r="I315" s="3963"/>
      <c r="J315" s="3963"/>
      <c r="K315" s="3963"/>
      <c r="L315" s="3963"/>
      <c r="M315" s="3963"/>
      <c r="N315" s="3963"/>
      <c r="O315" s="159" t="s">
        <v>2568</v>
      </c>
      <c r="P315" s="2502" t="s">
        <v>2769</v>
      </c>
      <c r="Q315" s="2965"/>
      <c r="AE315" s="443"/>
      <c r="AF315" s="443"/>
    </row>
    <row r="316" spans="1:32" s="403" customFormat="1" ht="12" customHeight="1">
      <c r="A316" s="140"/>
      <c r="B316" s="1305" t="s">
        <v>1659</v>
      </c>
      <c r="C316" s="3963" t="s">
        <v>4258</v>
      </c>
      <c r="D316" s="3963"/>
      <c r="E316" s="3963"/>
      <c r="F316" s="3963"/>
      <c r="G316" s="3963"/>
      <c r="H316" s="3963"/>
      <c r="I316" s="3963"/>
      <c r="J316" s="3963"/>
      <c r="K316" s="3963"/>
      <c r="L316" s="3963"/>
      <c r="M316" s="3963"/>
      <c r="N316" s="3963"/>
      <c r="O316" s="147" t="s">
        <v>1659</v>
      </c>
      <c r="P316" s="2657" t="s">
        <v>2769</v>
      </c>
      <c r="Q316" s="2958"/>
      <c r="AE316" s="444"/>
      <c r="AF316" s="444"/>
    </row>
    <row r="317" spans="1:32" s="403" customFormat="1" ht="21.75" customHeight="1">
      <c r="A317" s="140"/>
      <c r="B317" s="451" t="s">
        <v>1660</v>
      </c>
      <c r="C317" s="3963" t="s">
        <v>6458</v>
      </c>
      <c r="D317" s="3963"/>
      <c r="E317" s="3963"/>
      <c r="F317" s="3963"/>
      <c r="G317" s="3963"/>
      <c r="H317" s="3963"/>
      <c r="I317" s="3963"/>
      <c r="J317" s="3963"/>
      <c r="K317" s="3963"/>
      <c r="L317" s="3963"/>
      <c r="M317" s="3963"/>
      <c r="N317" s="3963"/>
      <c r="O317" s="159" t="s">
        <v>1660</v>
      </c>
      <c r="P317" s="2658" t="s">
        <v>2772</v>
      </c>
      <c r="Q317" s="2960"/>
      <c r="AE317" s="444"/>
      <c r="AF317" s="444"/>
    </row>
    <row r="318" spans="1:32" s="93" customFormat="1" ht="12.75" customHeight="1">
      <c r="A318" s="137" t="s">
        <v>1895</v>
      </c>
      <c r="B318" s="177" t="s">
        <v>3431</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6461</v>
      </c>
      <c r="E319" s="3963"/>
      <c r="F319" s="3963"/>
      <c r="G319" s="3963"/>
      <c r="H319" s="3963"/>
      <c r="I319" s="138"/>
      <c r="J319" s="3951" t="s">
        <v>3399</v>
      </c>
      <c r="K319" s="4132"/>
      <c r="L319" s="4132"/>
      <c r="M319" s="4023" t="s">
        <v>3378</v>
      </c>
      <c r="N319" s="4023"/>
      <c r="AE319" s="445"/>
      <c r="AF319" s="445"/>
    </row>
    <row r="320" spans="1:32" s="289" customFormat="1" ht="10.5" customHeight="1">
      <c r="A320" s="300"/>
      <c r="B320" s="2621"/>
      <c r="D320" s="3963"/>
      <c r="E320" s="3963"/>
      <c r="F320" s="3963"/>
      <c r="G320" s="3963"/>
      <c r="H320" s="3963"/>
      <c r="I320" s="2629"/>
      <c r="J320" s="4132"/>
      <c r="K320" s="4132"/>
      <c r="L320" s="4132"/>
      <c r="M320" s="36" t="s">
        <v>3379</v>
      </c>
      <c r="N320" s="2672" t="s">
        <v>3398</v>
      </c>
      <c r="P320" s="298"/>
    </row>
    <row r="321" spans="1:33" s="289" customFormat="1" ht="13.35" customHeight="1">
      <c r="A321" s="300"/>
      <c r="B321" s="2621"/>
      <c r="D321" s="3963"/>
      <c r="E321" s="3963"/>
      <c r="F321" s="3963"/>
      <c r="G321" s="3963"/>
      <c r="H321" s="3963"/>
      <c r="I321" s="52" t="s">
        <v>3536</v>
      </c>
      <c r="K321" s="2508">
        <v>5</v>
      </c>
      <c r="L321" s="892" t="str">
        <f>IF(K321&lt;M321,"Check!!!","")</f>
        <v/>
      </c>
      <c r="M321" s="1667">
        <f>ROUNDUP('Part VI-Revenues &amp; Expenses'!$P$67*'Part VIII-Threshold Criteria'!N321,0)</f>
        <v>5</v>
      </c>
      <c r="N321" s="1291">
        <f>'DCA Underwriting Assumptions'!$Q$155</f>
        <v>0.05</v>
      </c>
      <c r="O321" s="439" t="s">
        <v>3287</v>
      </c>
      <c r="P321" s="2668" t="s">
        <v>2769</v>
      </c>
      <c r="Q321" s="2956"/>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6462</v>
      </c>
      <c r="E322" s="3963"/>
      <c r="F322" s="3963"/>
      <c r="G322" s="3963"/>
      <c r="H322" s="3963"/>
      <c r="I322" s="774" t="s">
        <v>3537</v>
      </c>
      <c r="J322" s="289"/>
      <c r="K322" s="2509">
        <v>2</v>
      </c>
      <c r="L322" s="892" t="str">
        <f>IF(K322&lt;M322,"Check!!!","")</f>
        <v/>
      </c>
      <c r="M322" s="1668">
        <f>ROUNDUP(K321*'Part VIII-Threshold Criteria'!N322,0)</f>
        <v>2</v>
      </c>
      <c r="N322" s="1291">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3370</v>
      </c>
      <c r="D324" s="3963"/>
      <c r="E324" s="3963"/>
      <c r="F324" s="3963"/>
      <c r="G324" s="3963"/>
      <c r="H324" s="3963"/>
      <c r="I324" s="52" t="s">
        <v>3538</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1"/>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3432</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3950" t="s">
        <v>3289</v>
      </c>
      <c r="C328" s="3950"/>
      <c r="D328" s="3950"/>
      <c r="E328" s="3950"/>
      <c r="F328" s="3950"/>
      <c r="G328" s="3950"/>
      <c r="H328" s="3950"/>
      <c r="I328" s="3950"/>
      <c r="J328" s="3950"/>
      <c r="K328" s="3950"/>
      <c r="L328" s="3950"/>
      <c r="M328" s="3950"/>
      <c r="N328" s="3950"/>
      <c r="O328" s="159" t="s">
        <v>719</v>
      </c>
      <c r="P328" s="2507" t="s">
        <v>2769</v>
      </c>
      <c r="Q328" s="2971"/>
      <c r="AE328" s="445"/>
      <c r="AF328" s="445"/>
    </row>
    <row r="329" spans="1:33" s="93" customFormat="1" ht="11.25" customHeight="1">
      <c r="B329" s="382" t="s">
        <v>3290</v>
      </c>
      <c r="D329" s="382"/>
      <c r="E329" s="382"/>
      <c r="F329" s="382"/>
      <c r="G329" s="382"/>
      <c r="H329" s="382"/>
      <c r="I329" s="382" t="s">
        <v>3377</v>
      </c>
      <c r="J329" s="382"/>
      <c r="K329" s="382"/>
      <c r="L329" s="3973" t="s">
        <v>6949</v>
      </c>
      <c r="M329" s="3974"/>
      <c r="N329" s="3974"/>
      <c r="O329" s="3974"/>
      <c r="P329" s="3974"/>
      <c r="Q329" s="3975"/>
      <c r="R329" s="382"/>
      <c r="AE329" s="445"/>
      <c r="AF329" s="445"/>
    </row>
    <row r="330" spans="1:33" s="403" customFormat="1" ht="44.25" customHeight="1">
      <c r="B330" s="1305" t="s">
        <v>1658</v>
      </c>
      <c r="C330" s="3963" t="s">
        <v>3288</v>
      </c>
      <c r="D330" s="3963"/>
      <c r="E330" s="3963"/>
      <c r="F330" s="3963"/>
      <c r="G330" s="3963"/>
      <c r="H330" s="3963"/>
      <c r="I330" s="3963"/>
      <c r="J330" s="3963"/>
      <c r="K330" s="3963"/>
      <c r="L330" s="3963"/>
      <c r="M330" s="3963"/>
      <c r="N330" s="3963"/>
      <c r="O330" s="159" t="s">
        <v>3293</v>
      </c>
      <c r="P330" s="2502" t="s">
        <v>2769</v>
      </c>
      <c r="Q330" s="2965"/>
      <c r="AE330" s="444"/>
      <c r="AF330" s="444"/>
    </row>
    <row r="331" spans="1:33" s="403" customFormat="1" ht="34.5" customHeight="1">
      <c r="B331" s="1305" t="s">
        <v>1659</v>
      </c>
      <c r="C331" s="3963" t="s">
        <v>4007</v>
      </c>
      <c r="D331" s="3963"/>
      <c r="E331" s="3963"/>
      <c r="F331" s="3963"/>
      <c r="G331" s="3963"/>
      <c r="H331" s="3963"/>
      <c r="I331" s="3963"/>
      <c r="J331" s="3963"/>
      <c r="K331" s="3963"/>
      <c r="L331" s="3963"/>
      <c r="M331" s="3963"/>
      <c r="N331" s="3963"/>
      <c r="O331" s="159" t="s">
        <v>3294</v>
      </c>
      <c r="P331" s="2657" t="s">
        <v>2769</v>
      </c>
      <c r="Q331" s="2958"/>
      <c r="AE331" s="444"/>
      <c r="AF331" s="444"/>
    </row>
    <row r="332" spans="1:33" s="403" customFormat="1" ht="22.5" customHeight="1">
      <c r="B332" s="451" t="s">
        <v>1660</v>
      </c>
      <c r="C332" s="3963" t="s">
        <v>3291</v>
      </c>
      <c r="D332" s="3963"/>
      <c r="E332" s="3963"/>
      <c r="F332" s="3963"/>
      <c r="G332" s="3963"/>
      <c r="H332" s="3963"/>
      <c r="I332" s="3963"/>
      <c r="J332" s="3963"/>
      <c r="K332" s="3963"/>
      <c r="L332" s="3963"/>
      <c r="M332" s="3963"/>
      <c r="N332" s="3963"/>
      <c r="O332" s="159" t="s">
        <v>3295</v>
      </c>
      <c r="P332" s="2657" t="s">
        <v>2769</v>
      </c>
      <c r="Q332" s="2958"/>
      <c r="AE332" s="444"/>
      <c r="AF332" s="444"/>
    </row>
    <row r="333" spans="1:33" s="403" customFormat="1" ht="34.5" customHeight="1">
      <c r="B333" s="451" t="s">
        <v>2260</v>
      </c>
      <c r="C333" s="3963" t="s">
        <v>3292</v>
      </c>
      <c r="D333" s="3963"/>
      <c r="E333" s="3963"/>
      <c r="F333" s="3963"/>
      <c r="G333" s="3963"/>
      <c r="H333" s="3963"/>
      <c r="I333" s="3963"/>
      <c r="J333" s="3963"/>
      <c r="K333" s="3963"/>
      <c r="L333" s="3963"/>
      <c r="M333" s="3963"/>
      <c r="N333" s="3963"/>
      <c r="O333" s="159" t="s">
        <v>3296</v>
      </c>
      <c r="P333" s="2658" t="s">
        <v>2769</v>
      </c>
      <c r="Q333" s="2960"/>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3958" t="s">
        <v>6950</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50" t="s">
        <v>3521</v>
      </c>
      <c r="B338" s="10" t="s">
        <v>2523</v>
      </c>
      <c r="C338" s="10"/>
      <c r="D338" s="10"/>
      <c r="E338" s="10"/>
      <c r="F338" s="10"/>
      <c r="G338" s="10"/>
      <c r="H338" s="2655"/>
      <c r="I338" s="2655"/>
      <c r="J338" s="2655"/>
      <c r="K338" s="2655"/>
      <c r="L338" s="2655"/>
      <c r="M338" s="2655"/>
      <c r="O338" s="130" t="s">
        <v>1781</v>
      </c>
      <c r="P338" s="4155"/>
      <c r="Q338" s="4156"/>
    </row>
    <row r="339" spans="1:256 1523:1523" ht="11.45" customHeight="1">
      <c r="B339" s="143" t="s">
        <v>2150</v>
      </c>
      <c r="P339" s="2492" t="s">
        <v>2772</v>
      </c>
      <c r="Q339" s="2950"/>
    </row>
    <row r="340" spans="1:256 1523:1523" ht="12" customHeight="1">
      <c r="B340" s="773" t="s">
        <v>2110</v>
      </c>
      <c r="C340" s="773"/>
      <c r="D340" s="773"/>
      <c r="E340" s="773"/>
      <c r="F340" s="773"/>
      <c r="G340" s="773"/>
      <c r="H340" s="773"/>
      <c r="I340" s="773"/>
      <c r="J340" s="773"/>
      <c r="K340" s="773"/>
      <c r="L340" s="773"/>
      <c r="O340" s="126"/>
      <c r="P340" s="2671" t="s">
        <v>2769</v>
      </c>
      <c r="Q340" s="2952"/>
    </row>
    <row r="341" spans="1:256 1523:1523" s="157" customFormat="1" ht="11.45" customHeight="1">
      <c r="A341" s="2511"/>
      <c r="B341" s="419" t="s">
        <v>3946</v>
      </c>
      <c r="E341" s="419"/>
      <c r="F341" s="419"/>
      <c r="G341" s="419"/>
      <c r="H341" s="419"/>
      <c r="I341" s="522"/>
      <c r="J341" s="378"/>
      <c r="K341" s="4015" t="s">
        <v>6951</v>
      </c>
      <c r="L341" s="4016"/>
      <c r="M341" s="4016"/>
      <c r="N341" s="4017"/>
      <c r="O341" s="559"/>
      <c r="P341" s="2512"/>
      <c r="Q341" s="2953"/>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06" t="s">
        <v>2772</v>
      </c>
      <c r="Q343" s="2969"/>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6614</v>
      </c>
      <c r="H345" s="4013"/>
      <c r="I345" s="4013"/>
      <c r="J345" s="4013"/>
      <c r="K345" s="4013"/>
      <c r="L345" s="4013"/>
      <c r="M345" s="4013"/>
      <c r="N345" s="4014"/>
      <c r="O345" s="213" t="s">
        <v>1658</v>
      </c>
      <c r="P345" s="2502" t="s">
        <v>2769</v>
      </c>
      <c r="Q345" s="2965"/>
      <c r="BFO345" s="146" t="s">
        <v>2569</v>
      </c>
    </row>
    <row r="346" spans="1:256 1523:1523" ht="23.25" customHeight="1">
      <c r="B346" s="773" t="s">
        <v>1659</v>
      </c>
      <c r="C346" s="3963" t="s">
        <v>1091</v>
      </c>
      <c r="D346" s="3963"/>
      <c r="E346" s="3963"/>
      <c r="F346" s="3976"/>
      <c r="G346" s="3410" t="s">
        <v>6459</v>
      </c>
      <c r="H346" s="3993"/>
      <c r="I346" s="3993"/>
      <c r="J346" s="3993"/>
      <c r="K346" s="3993"/>
      <c r="L346" s="3993"/>
      <c r="M346" s="3993"/>
      <c r="N346" s="3994"/>
      <c r="O346" s="213" t="s">
        <v>1659</v>
      </c>
      <c r="P346" s="2658" t="s">
        <v>2769</v>
      </c>
      <c r="Q346" s="2960"/>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3995" t="s">
        <v>6345</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6610</v>
      </c>
      <c r="P349" s="2502"/>
      <c r="Q349" s="2965"/>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6611</v>
      </c>
      <c r="P350" s="2658"/>
      <c r="Q350" s="2960"/>
      <c r="AE350" s="442"/>
      <c r="AF350" s="442"/>
    </row>
    <row r="351" spans="1:256 1523:1523" ht="22.5" customHeight="1">
      <c r="A351" s="140" t="s">
        <v>2021</v>
      </c>
      <c r="B351" s="3950" t="s">
        <v>6346</v>
      </c>
      <c r="C351" s="3950"/>
      <c r="D351" s="3950"/>
      <c r="E351" s="3950"/>
      <c r="F351" s="3950"/>
      <c r="G351" s="3950"/>
      <c r="H351" s="3950"/>
      <c r="I351" s="3950"/>
      <c r="J351" s="3950"/>
      <c r="K351" s="3950"/>
      <c r="L351" s="3950"/>
      <c r="M351" s="3950"/>
      <c r="N351" s="3950"/>
      <c r="O351" s="159" t="s">
        <v>2021</v>
      </c>
      <c r="P351" s="2658" t="s">
        <v>6928</v>
      </c>
      <c r="Q351" s="2960"/>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11.45" customHeight="1">
      <c r="A354" s="3958" t="s">
        <v>6952</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50" t="s">
        <v>3522</v>
      </c>
      <c r="B357" s="177" t="s">
        <v>3540</v>
      </c>
      <c r="C357" s="2650"/>
      <c r="D357" s="2655"/>
      <c r="E357" s="2655"/>
      <c r="F357" s="2655"/>
      <c r="G357" s="2655"/>
      <c r="H357" s="2655"/>
      <c r="O357" s="130" t="s">
        <v>1781</v>
      </c>
      <c r="P357" s="3961"/>
      <c r="Q357" s="3962"/>
    </row>
    <row r="358" spans="1:31" ht="11.45" customHeight="1">
      <c r="A358" s="47" t="s">
        <v>1893</v>
      </c>
      <c r="B358" s="55" t="s">
        <v>6376</v>
      </c>
      <c r="O358" s="159" t="s">
        <v>1893</v>
      </c>
      <c r="P358" s="2492" t="s">
        <v>2769</v>
      </c>
      <c r="Q358" s="2950"/>
    </row>
    <row r="359" spans="1:31" ht="11.45" customHeight="1">
      <c r="A359" s="140" t="s">
        <v>1895</v>
      </c>
      <c r="B359" s="55" t="s">
        <v>3512</v>
      </c>
      <c r="O359" s="159" t="s">
        <v>1895</v>
      </c>
      <c r="P359" s="2666" t="s">
        <v>2769</v>
      </c>
      <c r="Q359" s="2951"/>
    </row>
    <row r="360" spans="1:31" ht="11.45" customHeight="1">
      <c r="A360" s="140" t="s">
        <v>719</v>
      </c>
      <c r="B360" s="143" t="s">
        <v>2246</v>
      </c>
      <c r="O360" s="159" t="s">
        <v>719</v>
      </c>
      <c r="P360" s="2666" t="s">
        <v>2772</v>
      </c>
      <c r="Q360" s="2951"/>
    </row>
    <row r="361" spans="1:31" ht="11.45" customHeight="1">
      <c r="A361" s="47" t="s">
        <v>2021</v>
      </c>
      <c r="B361" s="55" t="s">
        <v>3414</v>
      </c>
      <c r="O361" s="439" t="s">
        <v>2021</v>
      </c>
      <c r="P361" s="2671" t="s">
        <v>2772</v>
      </c>
      <c r="Q361" s="2952"/>
    </row>
    <row r="362" spans="1:31" ht="11.45" customHeight="1">
      <c r="A362" s="140" t="s">
        <v>1656</v>
      </c>
      <c r="B362" s="55" t="s">
        <v>2674</v>
      </c>
      <c r="N362" s="159" t="s">
        <v>1656</v>
      </c>
      <c r="O362" s="4009" t="s">
        <v>4254</v>
      </c>
      <c r="P362" s="4010"/>
      <c r="Q362" s="4011"/>
    </row>
    <row r="363" spans="1:31" ht="11.45" customHeight="1">
      <c r="A363" s="140" t="s">
        <v>1657</v>
      </c>
      <c r="B363" s="399" t="s">
        <v>2247</v>
      </c>
      <c r="N363" s="159" t="s">
        <v>1657</v>
      </c>
      <c r="O363" s="4157" t="s">
        <v>2675</v>
      </c>
      <c r="P363" s="4158"/>
      <c r="Q363" s="4159"/>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13.35" customHeight="1">
      <c r="A365" s="3958" t="s">
        <v>6953</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3525</v>
      </c>
      <c r="B369" s="4" t="s">
        <v>6347</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6350</v>
      </c>
      <c r="C370" s="4006"/>
      <c r="D370" s="4006"/>
      <c r="E370" s="4006"/>
      <c r="F370" s="4006"/>
      <c r="G370" s="4006"/>
      <c r="H370" s="4006"/>
      <c r="I370" s="4006"/>
      <c r="J370" s="4006"/>
      <c r="K370" s="4006"/>
      <c r="L370" s="4006"/>
      <c r="M370" s="4006"/>
      <c r="N370" s="4006"/>
      <c r="O370" s="159" t="s">
        <v>1893</v>
      </c>
      <c r="P370" s="2507"/>
      <c r="Q370" s="2971"/>
    </row>
    <row r="371" spans="1:32" s="146" customFormat="1">
      <c r="A371" s="140"/>
      <c r="B371" s="1305"/>
      <c r="C371" s="52" t="s">
        <v>1712</v>
      </c>
      <c r="D371" s="52"/>
      <c r="E371" s="1610">
        <f>'Part VI-Revenues &amp; Expenses'!$P$67</f>
        <v>95</v>
      </c>
      <c r="F371" s="52" t="s">
        <v>4077</v>
      </c>
      <c r="G371" s="1611">
        <f>'Part VI-Revenues &amp; Expenses'!$P$100</f>
        <v>95</v>
      </c>
      <c r="H371" s="93"/>
      <c r="I371" s="36" t="s">
        <v>856</v>
      </c>
      <c r="J371" s="93"/>
      <c r="K371" s="93"/>
      <c r="L371" s="1610">
        <f>'Part VI-Revenues &amp; Expenses'!$P$111</f>
        <v>0</v>
      </c>
      <c r="M371" s="52" t="s">
        <v>2629</v>
      </c>
      <c r="N371" s="1609">
        <f>IF(E371=0,"",(G371+L371)/E371)</f>
        <v>1</v>
      </c>
      <c r="P371" s="138"/>
      <c r="Q371" s="138"/>
      <c r="AE371" s="443"/>
      <c r="AF371" s="443"/>
    </row>
    <row r="372" spans="1:32">
      <c r="A372" s="140" t="s">
        <v>1895</v>
      </c>
      <c r="B372" s="3963" t="s">
        <v>6348</v>
      </c>
      <c r="C372" s="3963"/>
      <c r="D372" s="3963"/>
      <c r="E372" s="3963"/>
      <c r="F372" s="3963"/>
      <c r="G372" s="3963"/>
      <c r="H372" s="3963"/>
      <c r="I372" s="3963"/>
      <c r="J372" s="3963"/>
      <c r="K372" s="3963"/>
      <c r="L372" s="3963"/>
      <c r="M372" s="3963"/>
      <c r="N372" s="3963"/>
      <c r="O372" s="159" t="s">
        <v>1895</v>
      </c>
      <c r="P372" s="2507"/>
      <c r="Q372" s="2971"/>
    </row>
    <row r="373" spans="1:32" ht="12.75" customHeight="1">
      <c r="A373" s="140"/>
      <c r="C373" s="52" t="s">
        <v>6349</v>
      </c>
      <c r="D373" s="52"/>
      <c r="E373" s="52"/>
      <c r="F373" s="52"/>
      <c r="G373" s="52"/>
      <c r="H373" s="52"/>
      <c r="I373" s="52"/>
      <c r="J373" s="52"/>
      <c r="M373" s="4007"/>
      <c r="N373" s="4008"/>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58"/>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3526</v>
      </c>
      <c r="B379" s="4" t="s">
        <v>3504</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3505</v>
      </c>
      <c r="D380" s="148"/>
      <c r="E380" s="148"/>
      <c r="F380" s="148"/>
      <c r="G380" s="148"/>
      <c r="H380" s="439" t="s">
        <v>1893</v>
      </c>
      <c r="I380" s="4025"/>
      <c r="J380" s="4026"/>
      <c r="K380" s="4026"/>
      <c r="L380" s="4026"/>
      <c r="M380" s="4026"/>
      <c r="N380" s="4026"/>
      <c r="O380" s="4026"/>
      <c r="P380" s="4027"/>
      <c r="Q380" s="2950"/>
    </row>
    <row r="381" spans="1:32" ht="10.5" customHeight="1">
      <c r="A381" s="140" t="s">
        <v>1895</v>
      </c>
      <c r="B381" s="133" t="s">
        <v>3506</v>
      </c>
      <c r="D381" s="148"/>
      <c r="E381" s="148"/>
      <c r="F381" s="148"/>
      <c r="G381" s="148"/>
      <c r="H381" s="159" t="s">
        <v>1895</v>
      </c>
      <c r="I381" s="3964"/>
      <c r="J381" s="3965"/>
      <c r="K381" s="3965"/>
      <c r="L381" s="3965"/>
      <c r="M381" s="3965"/>
      <c r="N381" s="3965"/>
      <c r="O381" s="3965"/>
      <c r="P381" s="3966"/>
      <c r="Q381" s="2952"/>
    </row>
    <row r="382" spans="1:32" ht="21.75" customHeight="1">
      <c r="A382" s="140" t="s">
        <v>719</v>
      </c>
      <c r="B382" s="4006" t="s">
        <v>3497</v>
      </c>
      <c r="C382" s="4006"/>
      <c r="D382" s="4006"/>
      <c r="E382" s="4006"/>
      <c r="F382" s="4006"/>
      <c r="G382" s="4006"/>
      <c r="H382" s="4006"/>
      <c r="I382" s="4006"/>
      <c r="J382" s="4006"/>
      <c r="K382" s="4006"/>
      <c r="L382" s="4006"/>
      <c r="M382" s="4006"/>
      <c r="N382" s="4006"/>
      <c r="O382" s="159" t="s">
        <v>719</v>
      </c>
      <c r="P382" s="2664"/>
      <c r="Q382" s="2965"/>
    </row>
    <row r="383" spans="1:32" ht="21.75" customHeight="1">
      <c r="A383" s="140" t="s">
        <v>2021</v>
      </c>
      <c r="B383" s="3963" t="s">
        <v>3498</v>
      </c>
      <c r="C383" s="3963"/>
      <c r="D383" s="3963"/>
      <c r="E383" s="3963"/>
      <c r="F383" s="3963"/>
      <c r="G383" s="3963"/>
      <c r="H383" s="3963"/>
      <c r="I383" s="3963"/>
      <c r="J383" s="3963"/>
      <c r="K383" s="3963"/>
      <c r="L383" s="3963"/>
      <c r="M383" s="3963"/>
      <c r="N383" s="3963"/>
      <c r="O383" s="159" t="s">
        <v>2021</v>
      </c>
      <c r="P383" s="2657"/>
      <c r="Q383" s="2958"/>
    </row>
    <row r="384" spans="1:32" ht="10.5" customHeight="1">
      <c r="A384" s="140" t="s">
        <v>1656</v>
      </c>
      <c r="B384" s="52" t="s">
        <v>3499</v>
      </c>
      <c r="D384" s="52"/>
      <c r="E384" s="52"/>
      <c r="F384" s="52"/>
      <c r="G384" s="52"/>
      <c r="H384" s="52"/>
      <c r="I384" s="52"/>
      <c r="J384" s="52"/>
      <c r="K384" s="52"/>
      <c r="L384" s="52"/>
      <c r="M384" s="52"/>
      <c r="O384" s="159" t="s">
        <v>1656</v>
      </c>
      <c r="P384" s="2666"/>
      <c r="Q384" s="2951"/>
    </row>
    <row r="385" spans="1:32" s="131" customFormat="1" ht="21.75" customHeight="1">
      <c r="A385" s="140" t="s">
        <v>1657</v>
      </c>
      <c r="B385" s="3963" t="s">
        <v>3500</v>
      </c>
      <c r="C385" s="3963"/>
      <c r="D385" s="3963"/>
      <c r="E385" s="3963"/>
      <c r="F385" s="3963"/>
      <c r="G385" s="3963"/>
      <c r="H385" s="3963"/>
      <c r="I385" s="3963"/>
      <c r="J385" s="3963"/>
      <c r="K385" s="3963"/>
      <c r="L385" s="3963"/>
      <c r="M385" s="3963"/>
      <c r="N385" s="3963"/>
      <c r="O385" s="159" t="s">
        <v>1657</v>
      </c>
      <c r="P385" s="2663"/>
      <c r="Q385" s="2972"/>
      <c r="AE385" s="442"/>
      <c r="AF385" s="442"/>
    </row>
    <row r="386" spans="1:32" s="131" customFormat="1" ht="10.5" customHeight="1">
      <c r="A386" s="140" t="s">
        <v>1858</v>
      </c>
      <c r="B386" s="138" t="s">
        <v>3501</v>
      </c>
      <c r="D386" s="784"/>
      <c r="E386" s="784"/>
      <c r="F386" s="784"/>
      <c r="G386" s="784"/>
      <c r="H386" s="784"/>
      <c r="I386" s="784"/>
      <c r="J386" s="784"/>
      <c r="K386" s="784"/>
      <c r="L386" s="784"/>
      <c r="M386" s="784"/>
      <c r="N386" s="784"/>
      <c r="O386" s="159" t="s">
        <v>1858</v>
      </c>
      <c r="P386" s="2502"/>
      <c r="Q386" s="2965"/>
      <c r="AE386" s="442"/>
      <c r="AF386" s="442"/>
    </row>
    <row r="387" spans="1:32" s="131" customFormat="1" ht="10.5" customHeight="1">
      <c r="C387" s="773" t="s">
        <v>4050</v>
      </c>
      <c r="E387" s="2655"/>
      <c r="F387" s="2655"/>
      <c r="G387" s="2655"/>
      <c r="H387" s="2655"/>
      <c r="I387" s="2655"/>
      <c r="J387" s="2655"/>
      <c r="K387" s="2655"/>
      <c r="L387" s="2655"/>
      <c r="M387" s="2655"/>
      <c r="N387" s="2655"/>
      <c r="P387" s="2658"/>
      <c r="Q387" s="2960"/>
      <c r="AE387" s="442"/>
      <c r="AF387" s="442"/>
    </row>
    <row r="388" spans="1:32" ht="21.75" customHeight="1">
      <c r="A388" s="140" t="s">
        <v>3124</v>
      </c>
      <c r="B388" s="3963" t="s">
        <v>3502</v>
      </c>
      <c r="C388" s="3963"/>
      <c r="D388" s="3963"/>
      <c r="E388" s="3963"/>
      <c r="F388" s="3963"/>
      <c r="G388" s="3963"/>
      <c r="H388" s="3963"/>
      <c r="I388" s="3963"/>
      <c r="J388" s="3963"/>
      <c r="K388" s="3963"/>
      <c r="L388" s="3963"/>
      <c r="M388" s="3963"/>
      <c r="N388" s="3963"/>
      <c r="O388" s="159" t="s">
        <v>3124</v>
      </c>
      <c r="P388" s="2502"/>
      <c r="Q388" s="2965"/>
    </row>
    <row r="389" spans="1:32" ht="33" customHeight="1">
      <c r="A389" s="140" t="s">
        <v>586</v>
      </c>
      <c r="B389" s="3963" t="s">
        <v>3503</v>
      </c>
      <c r="C389" s="3963"/>
      <c r="D389" s="3963"/>
      <c r="E389" s="3963"/>
      <c r="F389" s="3963"/>
      <c r="G389" s="3963"/>
      <c r="H389" s="3963"/>
      <c r="I389" s="3963"/>
      <c r="J389" s="3963"/>
      <c r="K389" s="3963"/>
      <c r="L389" s="3963"/>
      <c r="M389" s="3963"/>
      <c r="N389" s="3963"/>
      <c r="O389" s="159" t="s">
        <v>586</v>
      </c>
      <c r="P389" s="2658"/>
      <c r="Q389" s="2960"/>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58"/>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3527</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3202</v>
      </c>
      <c r="C398" s="3963"/>
      <c r="D398" s="3963"/>
      <c r="E398" s="3963"/>
      <c r="F398" s="3963"/>
      <c r="G398" s="3963"/>
      <c r="H398" s="3963"/>
      <c r="I398" s="3963"/>
      <c r="J398" s="3963"/>
      <c r="K398" s="3963"/>
      <c r="L398" s="3963"/>
      <c r="M398" s="3963"/>
      <c r="N398" s="3963"/>
      <c r="O398" s="159" t="s">
        <v>1895</v>
      </c>
      <c r="P398" s="2657"/>
      <c r="Q398" s="2958"/>
      <c r="AE398" s="442"/>
    </row>
    <row r="399" spans="1:32">
      <c r="A399" s="140" t="s">
        <v>719</v>
      </c>
      <c r="B399" s="55" t="s">
        <v>3330</v>
      </c>
      <c r="G399" s="2659"/>
      <c r="H399" s="2659"/>
      <c r="I399" s="2659"/>
      <c r="J399" s="783" t="s">
        <v>3331</v>
      </c>
      <c r="L399" s="2659"/>
      <c r="M399" s="4003">
        <f>'Part III-Sources of Funds'!I6</f>
        <v>0</v>
      </c>
      <c r="N399" s="4004"/>
      <c r="O399" s="159" t="s">
        <v>719</v>
      </c>
      <c r="P399" s="2671"/>
      <c r="Q399" s="2952"/>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58"/>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3528</v>
      </c>
      <c r="B405" s="4" t="s">
        <v>2524</v>
      </c>
      <c r="C405" s="4"/>
      <c r="D405" s="4"/>
      <c r="E405" s="2655"/>
      <c r="G405" s="138" t="s">
        <v>671</v>
      </c>
      <c r="H405" s="2655"/>
      <c r="I405" s="2655"/>
      <c r="J405" s="2655"/>
      <c r="K405" s="2655"/>
      <c r="L405" s="2655"/>
      <c r="M405" s="2655"/>
      <c r="O405" s="130" t="s">
        <v>1781</v>
      </c>
      <c r="P405" s="3961"/>
      <c r="Q405" s="4024"/>
      <c r="AF405" s="35"/>
    </row>
    <row r="406" spans="1:32" ht="12" customHeight="1">
      <c r="A406" s="47" t="s">
        <v>1893</v>
      </c>
      <c r="B406" s="52" t="s">
        <v>2527</v>
      </c>
      <c r="D406" s="784"/>
      <c r="E406" s="784"/>
      <c r="O406" s="439" t="s">
        <v>1893</v>
      </c>
      <c r="P406" s="2492" t="s">
        <v>2772</v>
      </c>
      <c r="Q406" s="2950"/>
      <c r="AF406" s="35"/>
    </row>
    <row r="407" spans="1:32" ht="12" customHeight="1">
      <c r="A407" s="47" t="s">
        <v>1895</v>
      </c>
      <c r="B407" s="52" t="s">
        <v>3263</v>
      </c>
      <c r="D407" s="784"/>
      <c r="E407" s="784"/>
      <c r="O407" s="439" t="s">
        <v>1895</v>
      </c>
      <c r="P407" s="2492" t="s">
        <v>2772</v>
      </c>
      <c r="Q407" s="2951"/>
      <c r="AF407" s="35"/>
    </row>
    <row r="408" spans="1:32" ht="12" customHeight="1">
      <c r="A408" s="47" t="s">
        <v>719</v>
      </c>
      <c r="B408" s="52" t="s">
        <v>4233</v>
      </c>
      <c r="D408" s="784"/>
      <c r="E408" s="784"/>
      <c r="O408" s="439" t="s">
        <v>719</v>
      </c>
      <c r="P408" s="2492" t="s">
        <v>2772</v>
      </c>
      <c r="Q408" s="2951"/>
      <c r="AF408" s="35"/>
    </row>
    <row r="409" spans="1:32" ht="12" customHeight="1">
      <c r="A409" s="47" t="s">
        <v>2021</v>
      </c>
      <c r="B409" s="52" t="s">
        <v>3264</v>
      </c>
      <c r="E409" s="138"/>
      <c r="O409" s="439" t="s">
        <v>2021</v>
      </c>
      <c r="P409" s="2492" t="s">
        <v>2772</v>
      </c>
      <c r="Q409" s="2951"/>
      <c r="AF409" s="35"/>
    </row>
    <row r="410" spans="1:32" ht="12" customHeight="1">
      <c r="A410" s="47" t="s">
        <v>1656</v>
      </c>
      <c r="B410" s="52" t="s">
        <v>1987</v>
      </c>
      <c r="E410" s="138"/>
      <c r="G410" s="439" t="s">
        <v>1656</v>
      </c>
      <c r="H410" s="3977"/>
      <c r="I410" s="3978"/>
      <c r="J410" s="3978"/>
      <c r="K410" s="3978"/>
      <c r="L410" s="3978"/>
      <c r="M410" s="3978"/>
      <c r="N410" s="3978"/>
      <c r="O410" s="3979"/>
      <c r="P410" s="2671" t="s">
        <v>2772</v>
      </c>
      <c r="Q410" s="2952"/>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3958" t="s">
        <v>6998</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3529</v>
      </c>
      <c r="B416" s="4" t="s">
        <v>4135</v>
      </c>
      <c r="C416" s="4"/>
      <c r="D416" s="4"/>
      <c r="E416" s="4"/>
      <c r="F416" s="4"/>
      <c r="G416" s="4"/>
      <c r="H416" s="2655"/>
      <c r="I416" s="2655"/>
      <c r="J416" s="2655"/>
      <c r="K416" s="2655"/>
      <c r="L416" s="2655"/>
      <c r="M416" s="2655"/>
      <c r="O416" s="130" t="s">
        <v>1781</v>
      </c>
      <c r="P416" s="3983"/>
      <c r="Q416" s="3984"/>
      <c r="AF416" s="35"/>
    </row>
    <row r="417" spans="1:33" ht="12" customHeight="1">
      <c r="B417" s="55" t="s">
        <v>6545</v>
      </c>
      <c r="O417" s="65"/>
      <c r="P417" s="2493" t="s">
        <v>2772</v>
      </c>
      <c r="Q417" s="2953"/>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2769</v>
      </c>
      <c r="Q419" s="2973"/>
      <c r="AF419" s="35"/>
    </row>
    <row r="420" spans="1:33" ht="12" customHeight="1">
      <c r="B420" s="52"/>
      <c r="C420" s="36" t="s">
        <v>4234</v>
      </c>
      <c r="D420" s="55" t="s">
        <v>4235</v>
      </c>
      <c r="E420" s="42"/>
      <c r="F420" s="42"/>
      <c r="G420" s="42"/>
      <c r="H420" s="42"/>
      <c r="I420" s="42"/>
      <c r="J420" s="42"/>
      <c r="K420" s="42"/>
      <c r="L420" s="42"/>
      <c r="M420" s="42"/>
      <c r="N420" s="42"/>
      <c r="O420" s="439" t="s">
        <v>4234</v>
      </c>
      <c r="P420" s="4162" t="s">
        <v>2772</v>
      </c>
      <c r="Q420" s="4160"/>
      <c r="AF420" s="35"/>
    </row>
    <row r="421" spans="1:33" ht="12" customHeight="1">
      <c r="A421" s="47"/>
      <c r="D421" s="52" t="s">
        <v>6833</v>
      </c>
      <c r="E421" s="52"/>
      <c r="F421" s="52"/>
      <c r="G421" s="52"/>
      <c r="H421" s="52"/>
      <c r="I421" s="52"/>
      <c r="J421" s="52"/>
      <c r="K421" s="52"/>
      <c r="L421" s="52"/>
      <c r="M421" s="52"/>
      <c r="N421" s="42"/>
      <c r="O421" s="1487"/>
      <c r="P421" s="4163"/>
      <c r="Q421" s="4161"/>
      <c r="AF421" s="35"/>
    </row>
    <row r="422" spans="1:33" ht="12" customHeight="1">
      <c r="C422" s="52" t="s">
        <v>2325</v>
      </c>
      <c r="D422" s="52" t="s">
        <v>3203</v>
      </c>
      <c r="E422" s="52"/>
      <c r="F422" s="52"/>
      <c r="G422" s="52"/>
      <c r="H422" s="52"/>
      <c r="I422" s="52"/>
      <c r="J422" s="52"/>
      <c r="K422" s="52"/>
      <c r="L422" s="52"/>
      <c r="M422" s="52"/>
      <c r="N422" s="42"/>
      <c r="O422" s="64" t="s">
        <v>2325</v>
      </c>
      <c r="P422" s="2500" t="s">
        <v>2772</v>
      </c>
      <c r="Q422" s="2962"/>
      <c r="AF422" s="35"/>
    </row>
    <row r="423" spans="1:33" s="146" customFormat="1" ht="12" customHeight="1">
      <c r="A423" s="47"/>
      <c r="C423" s="52" t="s">
        <v>4138</v>
      </c>
      <c r="D423" s="52" t="s">
        <v>3260</v>
      </c>
      <c r="E423" s="52"/>
      <c r="F423" s="52"/>
      <c r="G423" s="52"/>
      <c r="H423" s="52"/>
      <c r="I423" s="52"/>
      <c r="J423" s="52"/>
      <c r="K423" s="52"/>
      <c r="L423" s="52"/>
      <c r="M423" s="52"/>
      <c r="N423" s="93"/>
      <c r="O423" s="64" t="s">
        <v>2326</v>
      </c>
      <c r="P423" s="2514" t="s">
        <v>2769</v>
      </c>
      <c r="Q423" s="2963"/>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t="s">
        <v>2769</v>
      </c>
      <c r="Q424" s="2964"/>
    </row>
    <row r="425" spans="1:33" ht="12" customHeight="1">
      <c r="A425" s="47"/>
      <c r="B425" s="1398" t="s">
        <v>2416</v>
      </c>
      <c r="C425" s="3963" t="s">
        <v>6400</v>
      </c>
      <c r="D425" s="3963"/>
      <c r="E425" s="3963"/>
      <c r="F425" s="3963"/>
      <c r="G425" s="133" t="s">
        <v>4139</v>
      </c>
      <c r="J425" s="2515">
        <v>0</v>
      </c>
      <c r="K425" s="2974"/>
      <c r="M425" s="133" t="s">
        <v>6492</v>
      </c>
      <c r="P425" s="2516">
        <v>0</v>
      </c>
      <c r="Q425" s="2975"/>
    </row>
    <row r="426" spans="1:33" ht="12" customHeight="1">
      <c r="A426" s="47"/>
      <c r="C426" s="3963"/>
      <c r="D426" s="3963"/>
      <c r="E426" s="3963"/>
      <c r="F426" s="3963"/>
      <c r="G426" s="133" t="s">
        <v>6491</v>
      </c>
      <c r="J426" s="2517">
        <v>4</v>
      </c>
      <c r="K426" s="2976"/>
      <c r="M426" s="133" t="s">
        <v>6493</v>
      </c>
      <c r="P426" s="2517">
        <v>0</v>
      </c>
      <c r="Q426" s="2976"/>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6434</v>
      </c>
      <c r="J428" s="3951" t="s">
        <v>6435</v>
      </c>
      <c r="K428" s="3951" t="s">
        <v>6437</v>
      </c>
      <c r="L428" s="3951"/>
      <c r="M428" s="3951"/>
      <c r="N428" s="3967" t="s">
        <v>6436</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6598</v>
      </c>
      <c r="D430" s="3963"/>
      <c r="E430" s="3963"/>
      <c r="F430" s="3963"/>
      <c r="G430" s="3963"/>
      <c r="H430" s="3963"/>
      <c r="I430" s="1582">
        <f>$K$321</f>
        <v>5</v>
      </c>
      <c r="J430" s="2518">
        <v>2</v>
      </c>
      <c r="K430" s="3969">
        <v>5</v>
      </c>
      <c r="L430" s="3969"/>
      <c r="M430" s="3970"/>
      <c r="N430" s="1664">
        <f>MAX(J430,K430)</f>
        <v>5</v>
      </c>
      <c r="O430" s="64" t="s">
        <v>2328</v>
      </c>
      <c r="P430" s="2493" t="s">
        <v>2769</v>
      </c>
      <c r="Q430" s="2953"/>
      <c r="AE430" s="445"/>
      <c r="AF430" s="445"/>
    </row>
    <row r="431" spans="1:33" s="289" customFormat="1" ht="12.75" customHeight="1">
      <c r="A431" s="300"/>
      <c r="B431" s="2621"/>
      <c r="C431" s="3963"/>
      <c r="D431" s="3963"/>
      <c r="E431" s="3963"/>
      <c r="F431" s="3963"/>
      <c r="G431" s="3963"/>
      <c r="H431" s="3963"/>
      <c r="I431" s="2629"/>
      <c r="J431" s="2977"/>
      <c r="K431" s="3971"/>
      <c r="L431" s="3971"/>
      <c r="M431" s="3972"/>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v>2</v>
      </c>
      <c r="K433" s="3969">
        <v>2</v>
      </c>
      <c r="L433" s="3969"/>
      <c r="M433" s="3970"/>
      <c r="N433" s="1664">
        <f>MAX(J433,K433)</f>
        <v>2</v>
      </c>
      <c r="O433" s="439"/>
      <c r="P433" s="2519" t="s">
        <v>2769</v>
      </c>
      <c r="Q433" s="2978"/>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7"/>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6599</v>
      </c>
      <c r="D436" s="3963"/>
      <c r="E436" s="3963"/>
      <c r="F436" s="3963"/>
      <c r="G436" s="3963"/>
      <c r="H436" s="3963"/>
      <c r="I436" s="1582">
        <f>$K$324</f>
        <v>2</v>
      </c>
      <c r="J436" s="2518">
        <v>0</v>
      </c>
      <c r="K436" s="3969">
        <v>2</v>
      </c>
      <c r="L436" s="3969"/>
      <c r="M436" s="3970"/>
      <c r="N436" s="1664">
        <f>MAX(J436,K436)</f>
        <v>2</v>
      </c>
      <c r="O436" s="64" t="s">
        <v>2344</v>
      </c>
      <c r="P436" s="2493" t="s">
        <v>2769</v>
      </c>
      <c r="Q436" s="2953"/>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7"/>
      <c r="K437" s="3971"/>
      <c r="L437" s="3971"/>
      <c r="M437" s="3972"/>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6954</v>
      </c>
      <c r="Q440" s="2953" t="s">
        <v>1691</v>
      </c>
    </row>
    <row r="441" spans="1:33" ht="12" customHeight="1">
      <c r="A441" s="42"/>
      <c r="B441" s="146"/>
      <c r="D441" s="3989" t="s">
        <v>6496</v>
      </c>
      <c r="E441" s="1274" t="s">
        <v>2347</v>
      </c>
      <c r="F441" s="418" t="s">
        <v>3425</v>
      </c>
      <c r="G441" s="3985" t="s">
        <v>6956</v>
      </c>
      <c r="H441" s="3986"/>
      <c r="I441" s="3986"/>
      <c r="J441" s="3986"/>
      <c r="K441" s="3987"/>
      <c r="L441" s="1274"/>
    </row>
    <row r="442" spans="1:33" ht="12" customHeight="1">
      <c r="B442" s="146"/>
      <c r="D442" s="3989"/>
      <c r="E442" s="1274" t="s">
        <v>4136</v>
      </c>
      <c r="F442" s="418" t="s">
        <v>4137</v>
      </c>
      <c r="G442" s="4032" t="s">
        <v>6955</v>
      </c>
      <c r="H442" s="4033"/>
      <c r="I442" s="4034"/>
      <c r="J442" s="418" t="s">
        <v>3964</v>
      </c>
      <c r="K442" s="146"/>
      <c r="M442" s="3985"/>
      <c r="N442" s="3986"/>
      <c r="O442" s="3986"/>
      <c r="P442" s="3986"/>
      <c r="Q442" s="3987"/>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58.5" customHeight="1">
      <c r="B444" s="3980" t="s">
        <v>7016</v>
      </c>
      <c r="C444" s="3981"/>
      <c r="D444" s="3981"/>
      <c r="E444" s="3981"/>
      <c r="F444" s="3981"/>
      <c r="G444" s="3981"/>
      <c r="H444" s="3981"/>
      <c r="I444" s="3981"/>
      <c r="J444" s="3981"/>
      <c r="K444" s="3981"/>
      <c r="L444" s="3981"/>
      <c r="M444" s="3981"/>
      <c r="N444" s="3981"/>
      <c r="O444" s="3981"/>
      <c r="P444" s="3981"/>
      <c r="Q444" s="3982"/>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4236</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4140</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63" t="s">
        <v>4141</v>
      </c>
      <c r="C448" s="3963"/>
      <c r="D448" s="3963"/>
      <c r="E448" s="3963"/>
      <c r="F448" s="3963"/>
      <c r="G448" s="3963"/>
      <c r="H448" s="3963"/>
      <c r="I448" s="3963"/>
      <c r="J448" s="3963"/>
      <c r="K448" s="3963"/>
      <c r="L448" s="3963"/>
      <c r="M448" s="3963"/>
      <c r="N448" s="3963"/>
      <c r="O448" s="159" t="s">
        <v>1895</v>
      </c>
      <c r="P448" s="2507" t="s">
        <v>6928</v>
      </c>
      <c r="Q448" s="2971"/>
      <c r="T448" s="443"/>
      <c r="AE448" s="443"/>
      <c r="AF448" s="443"/>
    </row>
    <row r="449" spans="1:32" ht="12" customHeight="1">
      <c r="B449" s="139" t="s">
        <v>3371</v>
      </c>
      <c r="D449" s="139"/>
      <c r="E449" s="139"/>
      <c r="F449" s="139"/>
      <c r="G449" s="139"/>
      <c r="H449" s="40"/>
      <c r="I449" s="2672"/>
      <c r="J449" s="2672"/>
      <c r="K449" s="2672"/>
    </row>
    <row r="450" spans="1:32" ht="105.75" customHeight="1">
      <c r="A450" s="3958" t="s">
        <v>6999</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3530</v>
      </c>
      <c r="B454" s="4" t="s">
        <v>2619</v>
      </c>
      <c r="C454" s="4"/>
      <c r="D454" s="86"/>
      <c r="E454" s="2655"/>
      <c r="F454" s="2655"/>
      <c r="G454" s="2655"/>
      <c r="H454" s="2655"/>
      <c r="O454" s="130" t="s">
        <v>1781</v>
      </c>
      <c r="P454" s="3961"/>
      <c r="Q454" s="3962"/>
    </row>
    <row r="455" spans="1:32" ht="14.1" customHeight="1">
      <c r="B455" s="86" t="s">
        <v>4080</v>
      </c>
      <c r="C455" s="4"/>
      <c r="D455" s="86"/>
      <c r="E455" s="2655"/>
      <c r="F455" s="2655"/>
      <c r="G455" s="2655"/>
      <c r="H455" s="2655"/>
    </row>
    <row r="456" spans="1:32" s="131" customFormat="1" ht="21.75" customHeight="1">
      <c r="A456" s="140" t="s">
        <v>1893</v>
      </c>
      <c r="B456" s="3950" t="s">
        <v>3454</v>
      </c>
      <c r="C456" s="3950"/>
      <c r="D456" s="3950"/>
      <c r="E456" s="3950"/>
      <c r="F456" s="3950"/>
      <c r="G456" s="3950"/>
      <c r="H456" s="3950"/>
      <c r="I456" s="3950"/>
      <c r="J456" s="3950"/>
      <c r="K456" s="3950"/>
      <c r="L456" s="3950"/>
      <c r="M456" s="3950"/>
      <c r="N456" s="3950"/>
      <c r="O456" s="159" t="s">
        <v>1893</v>
      </c>
      <c r="P456" s="2502" t="s">
        <v>6928</v>
      </c>
      <c r="Q456" s="2965"/>
      <c r="AE456" s="442"/>
      <c r="AF456" s="442"/>
    </row>
    <row r="457" spans="1:32" s="131" customFormat="1" ht="22.5" customHeight="1">
      <c r="A457" s="140" t="s">
        <v>1895</v>
      </c>
      <c r="B457" s="3950" t="s">
        <v>3453</v>
      </c>
      <c r="C457" s="3950"/>
      <c r="D457" s="3950"/>
      <c r="E457" s="3950"/>
      <c r="F457" s="3950"/>
      <c r="G457" s="3950"/>
      <c r="H457" s="3950"/>
      <c r="I457" s="3950"/>
      <c r="J457" s="3950"/>
      <c r="K457" s="3950"/>
      <c r="L457" s="3950"/>
      <c r="M457" s="3950"/>
      <c r="N457" s="3950"/>
      <c r="O457" s="159" t="s">
        <v>1895</v>
      </c>
      <c r="P457" s="2502" t="s">
        <v>6928</v>
      </c>
      <c r="Q457" s="2958"/>
      <c r="AE457" s="442"/>
      <c r="AF457" s="442"/>
    </row>
    <row r="458" spans="1:32" s="131" customFormat="1" ht="22.5" customHeight="1">
      <c r="B458" s="1305" t="s">
        <v>1658</v>
      </c>
      <c r="C458" s="3950" t="s">
        <v>4046</v>
      </c>
      <c r="D458" s="3950"/>
      <c r="E458" s="3950"/>
      <c r="F458" s="3950"/>
      <c r="G458" s="3950"/>
      <c r="H458" s="3950"/>
      <c r="I458" s="3950"/>
      <c r="J458" s="3950"/>
      <c r="K458" s="3950"/>
      <c r="L458" s="3950"/>
      <c r="M458" s="3950"/>
      <c r="N458" s="3950"/>
      <c r="O458" s="159" t="s">
        <v>1658</v>
      </c>
      <c r="P458" s="2502" t="s">
        <v>6928</v>
      </c>
      <c r="Q458" s="2958"/>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502" t="s">
        <v>6928</v>
      </c>
      <c r="Q459" s="2951"/>
      <c r="AE459" s="50"/>
      <c r="AF459" s="50"/>
    </row>
    <row r="460" spans="1:32" s="131" customFormat="1" ht="33" customHeight="1">
      <c r="B460" s="451" t="s">
        <v>1660</v>
      </c>
      <c r="C460" s="3950" t="s">
        <v>4048</v>
      </c>
      <c r="D460" s="3950"/>
      <c r="E460" s="3950"/>
      <c r="F460" s="3950"/>
      <c r="G460" s="3950"/>
      <c r="H460" s="3950"/>
      <c r="I460" s="3950"/>
      <c r="J460" s="3950"/>
      <c r="K460" s="3950"/>
      <c r="L460" s="3950"/>
      <c r="M460" s="3950"/>
      <c r="N460" s="3950"/>
      <c r="O460" s="159" t="s">
        <v>1660</v>
      </c>
      <c r="P460" s="2502" t="s">
        <v>6928</v>
      </c>
      <c r="Q460" s="2958"/>
      <c r="AE460" s="442"/>
      <c r="AF460" s="442"/>
    </row>
    <row r="461" spans="1:32" s="131" customFormat="1" ht="22.5" customHeight="1">
      <c r="B461" s="451" t="s">
        <v>2260</v>
      </c>
      <c r="C461" s="3950" t="s">
        <v>4049</v>
      </c>
      <c r="D461" s="3950"/>
      <c r="E461" s="3950"/>
      <c r="F461" s="3950"/>
      <c r="G461" s="3950"/>
      <c r="H461" s="3950"/>
      <c r="I461" s="3950"/>
      <c r="J461" s="3950"/>
      <c r="K461" s="3950"/>
      <c r="L461" s="3950"/>
      <c r="M461" s="3950"/>
      <c r="N461" s="3950"/>
      <c r="O461" s="159" t="s">
        <v>2260</v>
      </c>
      <c r="P461" s="2502" t="s">
        <v>6928</v>
      </c>
      <c r="Q461" s="2958"/>
      <c r="AE461" s="442"/>
      <c r="AF461" s="442"/>
    </row>
    <row r="462" spans="1:32" s="131" customFormat="1" ht="22.5" customHeight="1">
      <c r="A462" s="140" t="s">
        <v>719</v>
      </c>
      <c r="B462" s="3950" t="s">
        <v>3455</v>
      </c>
      <c r="C462" s="3950"/>
      <c r="D462" s="3950"/>
      <c r="E462" s="3950"/>
      <c r="F462" s="3950"/>
      <c r="G462" s="3950"/>
      <c r="H462" s="3950"/>
      <c r="I462" s="3950"/>
      <c r="J462" s="3950"/>
      <c r="K462" s="3950"/>
      <c r="L462" s="3950"/>
      <c r="M462" s="3950"/>
      <c r="N462" s="3950"/>
      <c r="O462" s="159" t="s">
        <v>719</v>
      </c>
      <c r="P462" s="2502" t="s">
        <v>6928</v>
      </c>
      <c r="Q462" s="2958"/>
      <c r="AE462" s="442"/>
      <c r="AF462" s="442"/>
    </row>
    <row r="463" spans="1:32" s="131" customFormat="1" ht="22.5" customHeight="1">
      <c r="A463" s="140" t="s">
        <v>2021</v>
      </c>
      <c r="B463" s="3950" t="s">
        <v>4107</v>
      </c>
      <c r="C463" s="3950"/>
      <c r="D463" s="3950"/>
      <c r="E463" s="3950"/>
      <c r="F463" s="3950"/>
      <c r="G463" s="3950"/>
      <c r="H463" s="3950"/>
      <c r="I463" s="3950"/>
      <c r="J463" s="3950"/>
      <c r="K463" s="3950"/>
      <c r="L463" s="3950"/>
      <c r="M463" s="3950"/>
      <c r="N463" s="3950"/>
      <c r="O463" s="159" t="s">
        <v>2021</v>
      </c>
      <c r="P463" s="2502" t="s">
        <v>6928</v>
      </c>
      <c r="Q463" s="2958"/>
      <c r="AE463" s="442"/>
      <c r="AF463" s="442"/>
    </row>
    <row r="464" spans="1:32" s="131" customFormat="1" ht="21.75" customHeight="1">
      <c r="A464" s="140" t="s">
        <v>1656</v>
      </c>
      <c r="B464" s="3950" t="s">
        <v>4108</v>
      </c>
      <c r="C464" s="3950"/>
      <c r="D464" s="3950"/>
      <c r="E464" s="3950"/>
      <c r="F464" s="3950"/>
      <c r="G464" s="3950"/>
      <c r="H464" s="3950"/>
      <c r="I464" s="3950"/>
      <c r="J464" s="3950"/>
      <c r="K464" s="3950"/>
      <c r="L464" s="3950"/>
      <c r="M464" s="3950"/>
      <c r="N464" s="3950"/>
      <c r="O464" s="159" t="s">
        <v>1656</v>
      </c>
      <c r="P464" s="2502" t="s">
        <v>6928</v>
      </c>
      <c r="Q464" s="2958"/>
      <c r="AE464" s="442"/>
      <c r="AF464" s="442"/>
    </row>
    <row r="465" spans="1:32" s="403" customFormat="1" ht="21.75" customHeight="1">
      <c r="A465" s="140" t="s">
        <v>1657</v>
      </c>
      <c r="B465" s="3950" t="s">
        <v>4151</v>
      </c>
      <c r="C465" s="3950"/>
      <c r="D465" s="3950"/>
      <c r="E465" s="3950"/>
      <c r="F465" s="3950"/>
      <c r="G465" s="3950"/>
      <c r="H465" s="3950"/>
      <c r="I465" s="3950"/>
      <c r="J465" s="3950"/>
      <c r="K465" s="3950"/>
      <c r="L465" s="3950"/>
      <c r="M465" s="3950"/>
      <c r="N465" s="3950"/>
      <c r="O465" s="159" t="s">
        <v>1657</v>
      </c>
      <c r="P465" s="2502" t="s">
        <v>6928</v>
      </c>
      <c r="Q465" s="2960"/>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3958" t="s">
        <v>6992</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3965</v>
      </c>
      <c r="B471" s="4"/>
      <c r="C471" s="4" t="s">
        <v>2525</v>
      </c>
      <c r="D471" s="86"/>
      <c r="E471" s="2655"/>
      <c r="F471" s="2655"/>
      <c r="G471" s="2655"/>
      <c r="H471" s="2655"/>
      <c r="J471" s="2655"/>
      <c r="K471" s="2655"/>
      <c r="L471" s="2655"/>
      <c r="M471" s="2655"/>
      <c r="O471" s="130" t="s">
        <v>1781</v>
      </c>
      <c r="P471" s="3961"/>
      <c r="Q471" s="3962"/>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12" customHeight="1">
      <c r="A473" s="3958" t="s">
        <v>6993</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2425</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2100</v>
      </c>
      <c r="M539" s="1827" t="s">
        <v>4089</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3482</v>
      </c>
      <c r="R545" s="55"/>
      <c r="AE545" s="915"/>
      <c r="AF545" s="915"/>
    </row>
    <row r="546" spans="1:32" s="912" customFormat="1" ht="11.25">
      <c r="A546" s="55"/>
      <c r="B546" s="55"/>
      <c r="M546" s="912" t="s">
        <v>3477</v>
      </c>
      <c r="R546" s="55"/>
      <c r="AE546" s="915"/>
      <c r="AF546" s="915"/>
    </row>
    <row r="547" spans="1:32" s="912" customFormat="1" ht="11.25">
      <c r="A547" s="55"/>
      <c r="B547" s="55"/>
      <c r="M547" s="912" t="s">
        <v>3385</v>
      </c>
      <c r="R547" s="55"/>
      <c r="AE547" s="915"/>
      <c r="AF547" s="915"/>
    </row>
    <row r="548" spans="1:32" s="912" customFormat="1" ht="11.25">
      <c r="A548" s="55"/>
      <c r="B548" s="55"/>
      <c r="M548" s="912" t="s">
        <v>3473</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3474</v>
      </c>
      <c r="R550" s="55"/>
      <c r="AE550" s="915"/>
      <c r="AF550" s="915"/>
    </row>
    <row r="551" spans="1:32" s="430" customFormat="1">
      <c r="A551" s="146"/>
      <c r="B551" s="146"/>
      <c r="M551" s="912" t="s">
        <v>3387</v>
      </c>
      <c r="O551" s="912"/>
      <c r="R551" s="146"/>
      <c r="AE551" s="577"/>
      <c r="AF551" s="577"/>
    </row>
    <row r="552" spans="1:32" s="430" customFormat="1">
      <c r="A552" s="146"/>
      <c r="B552" s="146"/>
      <c r="M552" s="912" t="s">
        <v>3475</v>
      </c>
      <c r="R552" s="146"/>
      <c r="AE552" s="577"/>
      <c r="AF552" s="577"/>
    </row>
    <row r="553" spans="1:32" s="430" customFormat="1">
      <c r="A553" s="146"/>
      <c r="B553" s="146"/>
      <c r="M553" s="912" t="s">
        <v>3478</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3476</v>
      </c>
      <c r="R556" s="146"/>
      <c r="AE556" s="577"/>
      <c r="AF556" s="577"/>
    </row>
    <row r="557" spans="1:32" s="430" customFormat="1">
      <c r="A557" s="146"/>
      <c r="B557" s="146"/>
      <c r="M557" s="912" t="s">
        <v>3479</v>
      </c>
      <c r="R557" s="146"/>
      <c r="AE557" s="577"/>
      <c r="AF557" s="577"/>
    </row>
    <row r="558" spans="1:32" s="430" customFormat="1">
      <c r="A558" s="146"/>
      <c r="B558" s="146"/>
      <c r="M558" s="912" t="s">
        <v>3480</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Rmz4Fovet8U3rAaYwTe50mdaOFBE5ZniJYo/Zv1GnCN9ugRdD89cgPRevtwbgpsDtpJ2aLSgMx1DJULIbjpwUw==" saltValue="KJ2d24URidgf2sLVLBq20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3" zoomScaleNormal="100" workbookViewId="0">
      <selection activeCell="A4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473" t="str">
        <f>CONCATENATE("PART NINE - SCORING CRITERIA","  -  ",'Part I-Project Information'!$O$7," ",'Part I-Project Information'!$F$35,", ",'Part I-Project Information'!F39,", ",'Part I-Project Information'!J40," County")</f>
        <v>PART NINE - SCORING CRITERIA  -  2021-018 Roswell Redevelopment Phase I, Roswell, Fulton County</v>
      </c>
      <c r="B1" s="3474"/>
      <c r="C1" s="3474"/>
      <c r="D1" s="3474"/>
      <c r="E1" s="3474"/>
      <c r="F1" s="3474"/>
      <c r="G1" s="3474"/>
      <c r="H1" s="3474"/>
      <c r="I1" s="3474"/>
      <c r="J1" s="3474"/>
      <c r="K1" s="3474"/>
      <c r="L1" s="3474"/>
      <c r="M1" s="3474"/>
      <c r="N1" s="3474"/>
      <c r="O1" s="3474"/>
      <c r="P1" s="3475"/>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295" t="s">
        <v>4015</v>
      </c>
      <c r="B3" s="4295"/>
      <c r="C3" s="4295"/>
      <c r="D3" s="4295"/>
      <c r="E3" s="4295"/>
      <c r="F3" s="4295"/>
      <c r="G3" s="4295"/>
      <c r="H3" s="4295"/>
      <c r="I3" s="4295"/>
      <c r="J3" s="4295"/>
      <c r="K3" s="4295"/>
      <c r="L3" s="4295"/>
      <c r="M3" s="767"/>
      <c r="N3" s="73"/>
      <c r="O3" s="83" t="s">
        <v>2117</v>
      </c>
      <c r="P3" s="984" t="s">
        <v>245</v>
      </c>
      <c r="Q3" s="1302"/>
      <c r="R3" s="1302"/>
      <c r="S3" s="1302"/>
    </row>
    <row r="4" spans="1:22" s="44" customFormat="1" ht="12" customHeight="1">
      <c r="A4" s="4295"/>
      <c r="B4" s="4295"/>
      <c r="C4" s="4295"/>
      <c r="D4" s="4295"/>
      <c r="E4" s="4295"/>
      <c r="F4" s="4295"/>
      <c r="G4" s="4295"/>
      <c r="H4" s="4295"/>
      <c r="I4" s="4295"/>
      <c r="J4" s="4295"/>
      <c r="K4" s="4295"/>
      <c r="L4" s="4295"/>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2" t="str">
        <f>'Part I-Project Information'!$B$7</f>
        <v>2021 Core App
May 10 Rev</v>
      </c>
      <c r="C6" s="4322"/>
      <c r="D6" s="4322"/>
      <c r="E6" s="4322"/>
      <c r="F6" s="4322"/>
      <c r="G6" s="445"/>
      <c r="H6" s="42"/>
      <c r="I6" s="42"/>
      <c r="J6" s="42"/>
      <c r="L6" s="69" t="s">
        <v>1180</v>
      </c>
      <c r="M6" s="3"/>
      <c r="N6" s="9"/>
      <c r="O6" s="1686">
        <f>O401</f>
        <v>64</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3" t="s">
        <v>6315</v>
      </c>
      <c r="B8" s="4323"/>
      <c r="C8" s="4323"/>
      <c r="D8" s="4006" t="s">
        <v>6316</v>
      </c>
      <c r="E8" s="4006"/>
      <c r="F8" s="4006"/>
      <c r="G8" s="4006"/>
      <c r="H8" s="4006"/>
      <c r="I8" s="4006"/>
      <c r="J8" s="4006"/>
      <c r="K8" s="4006"/>
      <c r="L8" s="4006"/>
      <c r="M8" s="4006"/>
      <c r="O8" s="2520">
        <v>0</v>
      </c>
      <c r="P8" s="2979"/>
      <c r="Q8" s="36" t="s">
        <v>6352</v>
      </c>
      <c r="R8" s="429"/>
      <c r="S8" s="156"/>
    </row>
    <row r="9" spans="1:22" s="42" customFormat="1" ht="12" customHeight="1">
      <c r="A9" s="4323"/>
      <c r="B9" s="4323"/>
      <c r="C9" s="4323"/>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2" t="s">
        <v>6351</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4005</v>
      </c>
      <c r="I14" s="66"/>
      <c r="J14" s="66"/>
      <c r="K14" s="66"/>
      <c r="L14" s="66"/>
      <c r="M14" s="1265" t="s">
        <v>4004</v>
      </c>
      <c r="N14" s="66"/>
      <c r="O14" s="2520">
        <v>0</v>
      </c>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3543</v>
      </c>
      <c r="B16" s="1286" t="s">
        <v>3544</v>
      </c>
      <c r="C16" s="1005"/>
      <c r="D16" s="1005"/>
      <c r="E16" s="840" t="s">
        <v>3551</v>
      </c>
      <c r="F16" s="4319" t="s">
        <v>6823</v>
      </c>
      <c r="G16" s="4319"/>
      <c r="H16" s="4319"/>
      <c r="I16" s="4319"/>
      <c r="J16" s="4319"/>
      <c r="K16" s="4319"/>
      <c r="L16" s="4319"/>
      <c r="M16" s="4319"/>
      <c r="N16" s="4319"/>
      <c r="O16" s="1287" t="s">
        <v>3972</v>
      </c>
      <c r="P16" s="1288">
        <f>SUM(P17:P29)</f>
        <v>0</v>
      </c>
      <c r="Q16" s="4216" t="s">
        <v>4066</v>
      </c>
      <c r="R16" s="4216"/>
      <c r="S16" s="4216"/>
      <c r="T16" s="4216"/>
      <c r="U16" s="4216"/>
      <c r="V16" s="4216"/>
    </row>
    <row r="17" spans="1:33" s="42" customFormat="1" ht="10.5" customHeight="1">
      <c r="A17" s="993" t="s">
        <v>1713</v>
      </c>
      <c r="B17" s="990" t="s">
        <v>3545</v>
      </c>
      <c r="C17" s="991"/>
      <c r="D17" s="992"/>
      <c r="E17" s="1281">
        <f>$O$98</f>
        <v>20</v>
      </c>
      <c r="F17" s="4320" t="str">
        <f>$A$104</f>
        <v>This project will have RAD subsidy and are allowed to go up to 80% AMI.  As demonstrated in our Market Study, our project has acheivable rents at/above 80% AMI.  The RAD subsidy allows for deeper targeting at 30% AMI, thus allowing for an Income Averaging percentage well below 58%.  This site location is eligible to receive 20 points in this category as it qualifies for points in Categories: C. Supermarket/Grocery Store, D. Restaurants, F. Medical Care Provider, G. Pharmacy, H. Licensed Childcare service, J. Elementary, Middle or High School, L. Community or Recreational Center, M. Public Park/Public Community Garden Greater than 25,000 sqft, N. Public Park/Public Community Garden less than 25,000 sqft, O. Public Library, P. Fire Station or Police Station, Q. Federally Insured Banking Institutions, R. Place of Worship for a total of 23.50 points.
Additionally, the project site is not located in a food desert as evidenced by USDA Food Access Research Atlas showing LI and LA at 1 and 20 miles. There are no undesirables in the area.</v>
      </c>
      <c r="G17" s="4321"/>
      <c r="H17" s="4321"/>
      <c r="I17" s="4321"/>
      <c r="J17" s="4321"/>
      <c r="K17" s="4321"/>
      <c r="L17" s="4321"/>
      <c r="M17" s="4321"/>
      <c r="N17" s="4321"/>
      <c r="O17" s="4321"/>
      <c r="P17" s="2980"/>
      <c r="Q17" s="4216"/>
      <c r="R17" s="4216"/>
      <c r="S17" s="4216"/>
      <c r="T17" s="4216"/>
      <c r="U17" s="4216"/>
      <c r="V17" s="4216"/>
    </row>
    <row r="18" spans="1:33" s="42" customFormat="1" ht="10.5" customHeight="1">
      <c r="A18" s="993" t="s">
        <v>505</v>
      </c>
      <c r="B18" s="841" t="s">
        <v>4240</v>
      </c>
      <c r="C18" s="942"/>
      <c r="D18" s="994"/>
      <c r="E18" s="1282">
        <f>$O$108</f>
        <v>2</v>
      </c>
      <c r="F18" s="4242" t="str">
        <f>$A$142</f>
        <v>The bus stop is located within a 0.5 miles from the primary pedestrian entrace per the latest mapping software.</v>
      </c>
      <c r="G18" s="4243"/>
      <c r="H18" s="4243"/>
      <c r="I18" s="4243"/>
      <c r="J18" s="4243"/>
      <c r="K18" s="4243"/>
      <c r="L18" s="4243"/>
      <c r="M18" s="4243"/>
      <c r="N18" s="4243"/>
      <c r="O18" s="4244"/>
      <c r="P18" s="2981"/>
      <c r="Q18" s="4253" t="str">
        <f>IF(OR($A$104="",$A$142="",$A$159="",$A$180="",$A$195="",$A$215="",$A$233="",$A$243="",$A$252="",$A$290="",$A$326="",$A$346="",$A$375=""),"Some Applicant Scoring Justification boxes are empty! Check to see if points claimed.","")</f>
        <v>Some Applicant Scoring Justification boxes are empty! Check to see if points claimed.</v>
      </c>
      <c r="R18" s="4254"/>
      <c r="S18" s="4254"/>
    </row>
    <row r="19" spans="1:33" s="42" customFormat="1" ht="10.5" customHeight="1">
      <c r="A19" s="993" t="s">
        <v>742</v>
      </c>
      <c r="B19" s="841" t="s">
        <v>3484</v>
      </c>
      <c r="C19" s="942"/>
      <c r="D19" s="994"/>
      <c r="E19" s="1282">
        <f>$O$147</f>
        <v>3</v>
      </c>
      <c r="F19" s="4242" t="str">
        <f>$A$159</f>
        <v xml:space="preserve">Per the CCRPI scoring website, both Roswell High School and Crabapple Middle School meet the DCA threshold and Vickery Mill received a 2018 Beating the Odds designation. </v>
      </c>
      <c r="G19" s="4243"/>
      <c r="H19" s="4243"/>
      <c r="I19" s="4243"/>
      <c r="J19" s="4243"/>
      <c r="K19" s="4243"/>
      <c r="L19" s="4243"/>
      <c r="M19" s="4243"/>
      <c r="N19" s="4243"/>
      <c r="O19" s="4244"/>
      <c r="P19" s="2981"/>
      <c r="Q19" s="4253"/>
      <c r="R19" s="4254"/>
      <c r="S19" s="4254"/>
    </row>
    <row r="20" spans="1:33" s="42" customFormat="1" ht="10.5" customHeight="1">
      <c r="A20" s="1685" t="s">
        <v>281</v>
      </c>
      <c r="B20" s="841" t="s">
        <v>3546</v>
      </c>
      <c r="C20" s="942"/>
      <c r="D20" s="994"/>
      <c r="E20" s="1283">
        <f>$O$163</f>
        <v>0</v>
      </c>
      <c r="F20" s="4242">
        <f>$A$180</f>
        <v>0</v>
      </c>
      <c r="G20" s="4243"/>
      <c r="H20" s="4243"/>
      <c r="I20" s="4243"/>
      <c r="J20" s="4243"/>
      <c r="K20" s="4243"/>
      <c r="L20" s="4243"/>
      <c r="M20" s="4243"/>
      <c r="N20" s="4243"/>
      <c r="O20" s="4244"/>
      <c r="P20" s="2981"/>
      <c r="Q20" s="4253"/>
      <c r="R20" s="4254"/>
      <c r="S20" s="4254"/>
    </row>
    <row r="21" spans="1:33" s="42" customFormat="1" ht="10.5" customHeight="1">
      <c r="A21" s="993" t="s">
        <v>407</v>
      </c>
      <c r="B21" s="1000" t="s">
        <v>3547</v>
      </c>
      <c r="C21" s="1001"/>
      <c r="D21" s="1002"/>
      <c r="E21" s="1284" t="s">
        <v>1654</v>
      </c>
      <c r="F21" s="4326">
        <f>$A$195</f>
        <v>0</v>
      </c>
      <c r="G21" s="4327"/>
      <c r="H21" s="4327"/>
      <c r="I21" s="4327"/>
      <c r="J21" s="4327"/>
      <c r="K21" s="4327"/>
      <c r="L21" s="4327"/>
      <c r="M21" s="4327"/>
      <c r="N21" s="4327"/>
      <c r="O21" s="4328"/>
      <c r="P21" s="2981"/>
      <c r="Q21" s="4253"/>
      <c r="R21" s="4254"/>
      <c r="S21" s="4254"/>
    </row>
    <row r="22" spans="1:33" s="42" customFormat="1" ht="10.5" customHeight="1">
      <c r="A22" s="993" t="s">
        <v>346</v>
      </c>
      <c r="B22" s="841" t="s">
        <v>4241</v>
      </c>
      <c r="C22" s="942"/>
      <c r="D22" s="994"/>
      <c r="E22" s="1282">
        <f>$O$199</f>
        <v>8</v>
      </c>
      <c r="F22" s="4242" t="str">
        <f>$A$215</f>
        <v xml:space="preserve">This project qualifies for eight points under the 2021 QAP Stable Communities scoring section. While the census tract the site is located with in does not score under the current guidelines, the site is located with .25 miles of a census tract that would meet the highest points total resulting in four points for part A of this section. Further, the census in which the site is located has metrics above the 60th percentile for Employment Rates, and Life expectancy. The project also is above the 80th percentile for median income resulting in 4 additional points for a total of 8 points for this scoring section.  </v>
      </c>
      <c r="G22" s="4243"/>
      <c r="H22" s="4243"/>
      <c r="I22" s="4243"/>
      <c r="J22" s="4243"/>
      <c r="K22" s="4243"/>
      <c r="L22" s="4243"/>
      <c r="M22" s="4243"/>
      <c r="N22" s="4243"/>
      <c r="O22" s="4244"/>
      <c r="P22" s="2981"/>
      <c r="Q22" s="4253"/>
      <c r="R22" s="4254"/>
      <c r="S22" s="4254"/>
    </row>
    <row r="23" spans="1:33" s="42" customFormat="1" ht="10.5" customHeight="1">
      <c r="A23" s="993" t="s">
        <v>4243</v>
      </c>
      <c r="B23" s="841" t="s">
        <v>3395</v>
      </c>
      <c r="C23" s="942"/>
      <c r="D23" s="994"/>
      <c r="E23" s="1282">
        <f>$O$228</f>
        <v>0</v>
      </c>
      <c r="F23" s="4242" t="str">
        <f>$A$233</f>
        <v xml:space="preserve">This project will have RAD subsidy and are allowed to go up to 80% AMI.  As demonstrated in our Market Study, our project has acheivable rents at/above 80% AMI.  The RAD subsidy allows for deeper targeting at 30% AMI, thus allowing for an Income Averaging percentage well below 58%. </v>
      </c>
      <c r="G23" s="4243"/>
      <c r="H23" s="4243"/>
      <c r="I23" s="4243"/>
      <c r="J23" s="4243"/>
      <c r="K23" s="4243"/>
      <c r="L23" s="4243"/>
      <c r="M23" s="4243"/>
      <c r="N23" s="4243"/>
      <c r="O23" s="4244"/>
      <c r="P23" s="2981"/>
      <c r="Q23" s="4253"/>
      <c r="R23" s="4254"/>
      <c r="S23" s="4254"/>
    </row>
    <row r="24" spans="1:33" s="42" customFormat="1" ht="10.5" customHeight="1">
      <c r="A24" s="993" t="s">
        <v>4255</v>
      </c>
      <c r="B24" s="841" t="s">
        <v>4244</v>
      </c>
      <c r="C24" s="942"/>
      <c r="D24" s="994"/>
      <c r="E24" s="1284">
        <f>$O$237</f>
        <v>0</v>
      </c>
      <c r="F24" s="4242">
        <f>$A$243</f>
        <v>0</v>
      </c>
      <c r="G24" s="4243"/>
      <c r="H24" s="4243"/>
      <c r="I24" s="4243"/>
      <c r="J24" s="4243"/>
      <c r="K24" s="4243"/>
      <c r="L24" s="4243"/>
      <c r="M24" s="4243"/>
      <c r="N24" s="4243"/>
      <c r="O24" s="4244"/>
      <c r="P24" s="2981"/>
      <c r="Q24" s="4253"/>
      <c r="R24" s="4254"/>
      <c r="S24" s="4254"/>
    </row>
    <row r="25" spans="1:33" s="42" customFormat="1" ht="10.5" customHeight="1">
      <c r="A25" s="1685" t="s">
        <v>6530</v>
      </c>
      <c r="B25" s="841" t="s">
        <v>4245</v>
      </c>
      <c r="C25" s="942"/>
      <c r="D25" s="994"/>
      <c r="E25" s="1282">
        <f>$O$247</f>
        <v>4</v>
      </c>
      <c r="F25" s="4245" t="str">
        <f>$A$252</f>
        <v>Per the DCA mapping tool there is only project within the city of Roswell's boundaries. The lone project, according to DCA's mapping tool, what awarded in 2014 resulting in the project qualifying for 4 points under the "15 Years Lookback Period" section</v>
      </c>
      <c r="G25" s="4246"/>
      <c r="H25" s="4246"/>
      <c r="I25" s="4246"/>
      <c r="J25" s="4246"/>
      <c r="K25" s="4246"/>
      <c r="L25" s="4246"/>
      <c r="M25" s="4246"/>
      <c r="N25" s="4246"/>
      <c r="O25" s="4247"/>
      <c r="P25" s="2981"/>
      <c r="Q25" s="4253"/>
      <c r="R25" s="4254"/>
      <c r="S25" s="4254"/>
    </row>
    <row r="26" spans="1:33" s="42" customFormat="1" ht="10.5" customHeight="1">
      <c r="A26" s="999" t="s">
        <v>3520</v>
      </c>
      <c r="B26" s="1000" t="s">
        <v>3548</v>
      </c>
      <c r="C26" s="1001"/>
      <c r="D26" s="1002"/>
      <c r="E26" s="1285">
        <f>$O$286</f>
        <v>0</v>
      </c>
      <c r="F26" s="4242">
        <f>$A$290</f>
        <v>0</v>
      </c>
      <c r="G26" s="4243"/>
      <c r="H26" s="4243"/>
      <c r="I26" s="4243"/>
      <c r="J26" s="4243"/>
      <c r="K26" s="4243"/>
      <c r="L26" s="4243"/>
      <c r="M26" s="4243"/>
      <c r="N26" s="4243"/>
      <c r="O26" s="4244"/>
      <c r="P26" s="2981"/>
      <c r="Q26" s="4253"/>
      <c r="R26" s="4254"/>
      <c r="S26" s="4254"/>
    </row>
    <row r="27" spans="1:33" s="42" customFormat="1" ht="10.5" customHeight="1">
      <c r="A27" s="993" t="s">
        <v>3518</v>
      </c>
      <c r="B27" s="841" t="s">
        <v>3549</v>
      </c>
      <c r="C27" s="942"/>
      <c r="D27" s="994"/>
      <c r="E27" s="1282">
        <f>$O$294</f>
        <v>0</v>
      </c>
      <c r="F27" s="4242">
        <f>$A$326</f>
        <v>0</v>
      </c>
      <c r="G27" s="4243"/>
      <c r="H27" s="4243"/>
      <c r="I27" s="4243"/>
      <c r="J27" s="4243"/>
      <c r="K27" s="4243"/>
      <c r="L27" s="4243"/>
      <c r="M27" s="4243"/>
      <c r="N27" s="4243"/>
      <c r="O27" s="4244"/>
      <c r="P27" s="2981"/>
      <c r="Q27" s="4253"/>
      <c r="R27" s="4254"/>
      <c r="S27" s="4254"/>
    </row>
    <row r="28" spans="1:33" s="42" customFormat="1" ht="10.5" customHeight="1">
      <c r="A28" s="993" t="s">
        <v>3518</v>
      </c>
      <c r="B28" s="841" t="s">
        <v>3550</v>
      </c>
      <c r="C28" s="942"/>
      <c r="D28" s="994"/>
      <c r="E28" s="1284">
        <f>$O$330</f>
        <v>0</v>
      </c>
      <c r="F28" s="4242">
        <f>$A$346</f>
        <v>0</v>
      </c>
      <c r="G28" s="4243"/>
      <c r="H28" s="4243"/>
      <c r="I28" s="4243"/>
      <c r="J28" s="4243"/>
      <c r="K28" s="4243"/>
      <c r="L28" s="4243"/>
      <c r="M28" s="4243"/>
      <c r="N28" s="4243"/>
      <c r="O28" s="4244"/>
      <c r="P28" s="2981"/>
      <c r="Q28" s="4253"/>
      <c r="R28" s="4254"/>
      <c r="S28" s="4254"/>
    </row>
    <row r="29" spans="1:33" s="42" customFormat="1" ht="10.5" customHeight="1">
      <c r="A29" s="995" t="s">
        <v>3525</v>
      </c>
      <c r="B29" s="996" t="s">
        <v>6361</v>
      </c>
      <c r="C29" s="997"/>
      <c r="D29" s="998"/>
      <c r="E29" s="1709">
        <f>$O$358</f>
        <v>0</v>
      </c>
      <c r="F29" s="4316">
        <f>$A$375</f>
        <v>0</v>
      </c>
      <c r="G29" s="4317"/>
      <c r="H29" s="4317"/>
      <c r="I29" s="4317"/>
      <c r="J29" s="4317"/>
      <c r="K29" s="4317"/>
      <c r="L29" s="4317"/>
      <c r="M29" s="4317"/>
      <c r="N29" s="4317"/>
      <c r="O29" s="4318"/>
      <c r="P29" s="2982"/>
      <c r="Q29" s="4253"/>
      <c r="R29" s="4254"/>
      <c r="S29" s="4254"/>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256" t="s">
        <v>6353</v>
      </c>
      <c r="H31" s="4256"/>
      <c r="I31" s="4256" t="s">
        <v>932</v>
      </c>
      <c r="J31" s="4256"/>
      <c r="K31" s="2669" t="s">
        <v>6354</v>
      </c>
      <c r="L31" s="1613"/>
      <c r="M31" s="4257" t="s">
        <v>6370</v>
      </c>
      <c r="N31" s="4257"/>
      <c r="O31" s="4257"/>
      <c r="P31" s="4257"/>
      <c r="Q31" s="1618"/>
      <c r="R31" s="1618"/>
      <c r="S31" s="2521" t="s">
        <v>6369</v>
      </c>
      <c r="T31" s="1618"/>
      <c r="U31" s="1618"/>
      <c r="V31" s="1618"/>
      <c r="X31" s="4168" t="s">
        <v>6353</v>
      </c>
      <c r="Y31" s="4169"/>
      <c r="Z31" s="4168" t="s">
        <v>932</v>
      </c>
      <c r="AA31" s="4169"/>
      <c r="AB31" s="2522" t="s">
        <v>6354</v>
      </c>
      <c r="AC31" s="4170" t="s">
        <v>6353</v>
      </c>
      <c r="AD31" s="4171"/>
      <c r="AE31" s="4170" t="s">
        <v>932</v>
      </c>
      <c r="AF31" s="4171"/>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350" t="str">
        <f>'Part I-Project Information'!F12</f>
        <v>9% Credit Competitive Round only</v>
      </c>
      <c r="N32" s="4351"/>
      <c r="O32" s="4351"/>
      <c r="P32" s="435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258" t="s">
        <v>6375</v>
      </c>
      <c r="N34" s="4258"/>
      <c r="O34" s="4258"/>
      <c r="P34" s="4258"/>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3545</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3545</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4240</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4240</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3484</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3484</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3546</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3546</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3547</v>
      </c>
      <c r="C39" s="1792"/>
      <c r="D39" s="1793"/>
      <c r="E39" s="1793"/>
      <c r="F39" s="1793"/>
      <c r="G39" s="2537">
        <v>3</v>
      </c>
      <c r="H39" s="2538"/>
      <c r="I39" s="2537"/>
      <c r="J39" s="2538"/>
      <c r="K39" s="2539"/>
      <c r="L39" s="1613"/>
      <c r="M39" s="279" t="s">
        <v>6535</v>
      </c>
      <c r="P39" s="531" t="str">
        <f>'Part III-Sources of Funds'!$L$14</f>
        <v>Yes</v>
      </c>
      <c r="Q39" s="1613"/>
      <c r="R39" s="1615" t="s">
        <v>407</v>
      </c>
      <c r="S39" s="2536" t="s">
        <v>3547</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4241</v>
      </c>
      <c r="C40" s="1792"/>
      <c r="D40" s="1793"/>
      <c r="E40" s="1793"/>
      <c r="F40" s="1793"/>
      <c r="G40" s="2537">
        <v>10</v>
      </c>
      <c r="H40" s="2538">
        <v>5</v>
      </c>
      <c r="I40" s="2537"/>
      <c r="J40" s="2538"/>
      <c r="K40" s="2539"/>
      <c r="L40" s="1613"/>
      <c r="M40" s="4266" t="s">
        <v>6536</v>
      </c>
      <c r="N40" s="4266"/>
      <c r="O40" s="481"/>
      <c r="P40" s="1804" t="str">
        <f>IF('Part I-Project Information'!$P$101="","",'Part I-Project Information'!$P$101)</f>
        <v>No</v>
      </c>
      <c r="Q40" s="1613"/>
      <c r="R40" s="1615" t="s">
        <v>346</v>
      </c>
      <c r="S40" s="2536" t="s">
        <v>4241</v>
      </c>
      <c r="T40" s="1794"/>
      <c r="U40" s="1795"/>
      <c r="V40" s="1795"/>
      <c r="W40" s="1795"/>
      <c r="X40" s="2540">
        <f>O199</f>
        <v>8</v>
      </c>
      <c r="Y40" s="2541">
        <f>O199</f>
        <v>8</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6543</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259" t="str">
        <f>IF($P$45&gt;$P$46,"New Supply",IF($P$45&lt;$P$46,"Rehabilitation",IF(AND($P$45&gt;0,$P$45=$P$46),"Tie","")))</f>
        <v>New Supply</v>
      </c>
      <c r="N43" s="4260"/>
      <c r="O43" s="4260"/>
      <c r="P43" s="4261"/>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3519</v>
      </c>
      <c r="B44" s="2536" t="s">
        <v>4245</v>
      </c>
      <c r="C44" s="1794"/>
      <c r="D44" s="1795"/>
      <c r="E44" s="1795"/>
      <c r="F44" s="1795"/>
      <c r="G44" s="2537">
        <v>5</v>
      </c>
      <c r="H44" s="2538"/>
      <c r="I44" s="2537"/>
      <c r="J44" s="2538"/>
      <c r="K44" s="2539"/>
      <c r="L44" s="1613"/>
      <c r="P44" s="1615" t="s">
        <v>3379</v>
      </c>
      <c r="Q44" s="1613"/>
      <c r="R44" s="1615" t="s">
        <v>3519</v>
      </c>
      <c r="S44" s="2536" t="s">
        <v>4245</v>
      </c>
      <c r="T44" s="1794"/>
      <c r="U44" s="1795"/>
      <c r="V44" s="1795"/>
      <c r="W44" s="1795"/>
      <c r="X44" s="2540">
        <f>O247</f>
        <v>4</v>
      </c>
      <c r="Y44" s="2538"/>
      <c r="Z44" s="2537"/>
      <c r="AA44" s="2538"/>
      <c r="AB44" s="2542"/>
      <c r="AC44" s="2543">
        <f>P247</f>
        <v>0</v>
      </c>
      <c r="AD44" s="2538"/>
      <c r="AE44" s="2537"/>
      <c r="AF44" s="2538"/>
      <c r="AG44" s="2539"/>
    </row>
    <row r="45" spans="1:33" s="157" customFormat="1" ht="10.5" customHeight="1">
      <c r="A45" s="1615" t="s">
        <v>2149</v>
      </c>
      <c r="B45" s="2536" t="s">
        <v>3966</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95</v>
      </c>
      <c r="R45" s="1615" t="s">
        <v>2149</v>
      </c>
      <c r="S45" s="2536" t="s">
        <v>3966</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3519</v>
      </c>
      <c r="B46" s="2536" t="s">
        <v>6359</v>
      </c>
      <c r="C46" s="1794"/>
      <c r="D46" s="1795"/>
      <c r="E46" s="1795"/>
      <c r="F46" s="1795"/>
      <c r="G46" s="2537">
        <v>2</v>
      </c>
      <c r="H46" s="2538"/>
      <c r="I46" s="2537">
        <v>2</v>
      </c>
      <c r="J46" s="2538"/>
      <c r="K46" s="2539"/>
      <c r="L46" s="1613"/>
      <c r="M46" s="279" t="s">
        <v>6573</v>
      </c>
      <c r="N46" s="1614"/>
      <c r="O46" s="1614"/>
      <c r="P46" s="1805">
        <f>'Part VI-Revenues &amp; Expenses'!P118+'Part VI-Revenues &amp; Expenses'!P121-'Part VI-Revenues &amp; Expenses'!$P$122-'Part VI-Revenues &amp; Expenses'!$P$123</f>
        <v>0</v>
      </c>
      <c r="Q46" s="1613"/>
      <c r="R46" s="1615" t="s">
        <v>3519</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3520</v>
      </c>
      <c r="B47" s="2536" t="s">
        <v>3548</v>
      </c>
      <c r="C47" s="1794"/>
      <c r="D47" s="1795"/>
      <c r="E47" s="1795"/>
      <c r="F47" s="1795"/>
      <c r="G47" s="2537">
        <v>2</v>
      </c>
      <c r="H47" s="2538"/>
      <c r="I47" s="2537">
        <v>2</v>
      </c>
      <c r="J47" s="2538"/>
      <c r="K47" s="2539">
        <v>2</v>
      </c>
      <c r="L47" s="1613"/>
      <c r="M47" s="4324" t="s">
        <v>6822</v>
      </c>
      <c r="N47" s="4324"/>
      <c r="O47" s="4324"/>
      <c r="P47" s="4324"/>
      <c r="Q47" s="489"/>
      <c r="R47" s="1615" t="s">
        <v>3520</v>
      </c>
      <c r="S47" s="2536" t="s">
        <v>3548</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3518</v>
      </c>
      <c r="B48" s="2536" t="s">
        <v>3549</v>
      </c>
      <c r="C48" s="1794"/>
      <c r="D48" s="1795"/>
      <c r="E48" s="1795"/>
      <c r="F48" s="1795"/>
      <c r="G48" s="2537">
        <v>4</v>
      </c>
      <c r="H48" s="2538">
        <v>4</v>
      </c>
      <c r="I48" s="2537">
        <v>4</v>
      </c>
      <c r="J48" s="2538">
        <v>4</v>
      </c>
      <c r="K48" s="2539">
        <v>4</v>
      </c>
      <c r="L48" s="1613"/>
      <c r="M48" s="4324"/>
      <c r="N48" s="4324"/>
      <c r="O48" s="4324"/>
      <c r="P48" s="4324"/>
      <c r="R48" s="1615" t="s">
        <v>3518</v>
      </c>
      <c r="S48" s="2536" t="s">
        <v>3549</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3521</v>
      </c>
      <c r="B49" s="2536" t="s">
        <v>3550</v>
      </c>
      <c r="C49" s="1794"/>
      <c r="D49" s="1795"/>
      <c r="E49" s="1795"/>
      <c r="F49" s="1795"/>
      <c r="G49" s="2537">
        <v>2</v>
      </c>
      <c r="H49" s="2538"/>
      <c r="I49" s="2537"/>
      <c r="J49" s="2538"/>
      <c r="K49" s="2539"/>
      <c r="L49" s="1613"/>
      <c r="M49" s="4324"/>
      <c r="N49" s="4324"/>
      <c r="O49" s="4324"/>
      <c r="P49" s="4324"/>
      <c r="R49" s="1615" t="s">
        <v>3521</v>
      </c>
      <c r="S49" s="2536" t="s">
        <v>3550</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3522</v>
      </c>
      <c r="B50" s="2536" t="s">
        <v>6360</v>
      </c>
      <c r="C50" s="1794"/>
      <c r="D50" s="1795"/>
      <c r="E50" s="1795"/>
      <c r="F50" s="1795"/>
      <c r="G50" s="2537">
        <v>10</v>
      </c>
      <c r="H50" s="2538">
        <v>10</v>
      </c>
      <c r="I50" s="2537">
        <v>10</v>
      </c>
      <c r="J50" s="2538">
        <v>10</v>
      </c>
      <c r="K50" s="2539">
        <v>10</v>
      </c>
      <c r="L50" s="1613"/>
      <c r="M50" s="4324"/>
      <c r="N50" s="4324"/>
      <c r="O50" s="4324"/>
      <c r="P50" s="4324"/>
      <c r="R50" s="1615" t="s">
        <v>3522</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3525</v>
      </c>
      <c r="B51" s="2536" t="s">
        <v>6361</v>
      </c>
      <c r="C51" s="1794"/>
      <c r="D51" s="1795"/>
      <c r="E51" s="1795"/>
      <c r="F51" s="1795"/>
      <c r="G51" s="2537">
        <v>2</v>
      </c>
      <c r="H51" s="2538"/>
      <c r="I51" s="2537">
        <v>2</v>
      </c>
      <c r="J51" s="2538"/>
      <c r="K51" s="2539"/>
      <c r="L51" s="1613"/>
      <c r="M51" s="4324"/>
      <c r="N51" s="4324"/>
      <c r="O51" s="4324"/>
      <c r="P51" s="4324"/>
      <c r="R51" s="1615" t="s">
        <v>3525</v>
      </c>
      <c r="S51" s="2536" t="s">
        <v>6361</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3526</v>
      </c>
      <c r="B52" s="2536" t="s">
        <v>6362</v>
      </c>
      <c r="C52" s="1794"/>
      <c r="D52" s="1795"/>
      <c r="E52" s="1795"/>
      <c r="F52" s="1795"/>
      <c r="G52" s="2537"/>
      <c r="H52" s="2538"/>
      <c r="I52" s="2537">
        <v>6</v>
      </c>
      <c r="J52" s="2538">
        <v>6</v>
      </c>
      <c r="K52" s="2539">
        <v>6</v>
      </c>
      <c r="L52" s="1613"/>
      <c r="M52" s="4325"/>
      <c r="N52" s="4325"/>
      <c r="O52" s="4325"/>
      <c r="P52" s="4325"/>
      <c r="R52" s="1615" t="s">
        <v>3526</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3527</v>
      </c>
      <c r="B53" s="2536" t="s">
        <v>6363</v>
      </c>
      <c r="C53" s="1794"/>
      <c r="D53" s="1795"/>
      <c r="E53" s="1795"/>
      <c r="F53" s="1795"/>
      <c r="G53" s="2537"/>
      <c r="H53" s="2538"/>
      <c r="I53" s="2537">
        <v>6</v>
      </c>
      <c r="J53" s="2538"/>
      <c r="K53" s="2539"/>
      <c r="L53" s="1613"/>
      <c r="M53" s="4353" t="s">
        <v>6353</v>
      </c>
      <c r="N53" s="4354"/>
      <c r="O53" s="4354"/>
      <c r="P53" s="4355"/>
      <c r="Q53" s="1613"/>
      <c r="R53" s="1615" t="s">
        <v>3527</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3528</v>
      </c>
      <c r="B54" s="2536" t="s">
        <v>6364</v>
      </c>
      <c r="C54" s="1794"/>
      <c r="D54" s="1795"/>
      <c r="E54" s="1795"/>
      <c r="F54" s="1795"/>
      <c r="G54" s="2537"/>
      <c r="H54" s="2538"/>
      <c r="I54" s="2537"/>
      <c r="J54" s="2538">
        <v>4</v>
      </c>
      <c r="K54" s="2539"/>
      <c r="L54" s="1613"/>
      <c r="Q54" s="1613"/>
      <c r="R54" s="1615" t="s">
        <v>3528</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3529</v>
      </c>
      <c r="B55" s="2536" t="s">
        <v>6365</v>
      </c>
      <c r="C55" s="1794"/>
      <c r="D55" s="1795"/>
      <c r="E55" s="1795"/>
      <c r="F55" s="1795"/>
      <c r="G55" s="2537"/>
      <c r="H55" s="2538"/>
      <c r="I55" s="2537">
        <v>2</v>
      </c>
      <c r="J55" s="2538"/>
      <c r="K55" s="2539">
        <v>2</v>
      </c>
      <c r="L55" s="1613"/>
      <c r="M55" s="4258" t="s">
        <v>6372</v>
      </c>
      <c r="N55" s="4258"/>
      <c r="O55" s="4258"/>
      <c r="P55" s="4258"/>
      <c r="Q55" s="1613"/>
      <c r="R55" s="1615" t="s">
        <v>3529</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3530</v>
      </c>
      <c r="B56" s="2554" t="s">
        <v>6366</v>
      </c>
      <c r="C56" s="1796"/>
      <c r="D56" s="1797"/>
      <c r="E56" s="1797"/>
      <c r="F56" s="1797"/>
      <c r="G56" s="2555"/>
      <c r="H56" s="2556">
        <v>16</v>
      </c>
      <c r="I56" s="2555"/>
      <c r="J56" s="2556">
        <v>16</v>
      </c>
      <c r="K56" s="2557"/>
      <c r="L56" s="1613"/>
      <c r="M56" s="4267" t="str">
        <f>'Part I-Project Information'!$H$105</f>
        <v>Atlanta Metro</v>
      </c>
      <c r="N56" s="4268"/>
      <c r="O56" s="4268"/>
      <c r="P56" s="4269"/>
      <c r="Q56" s="1613"/>
      <c r="R56" s="1615" t="s">
        <v>3530</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6531</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64</v>
      </c>
      <c r="Y58" s="2562">
        <f t="shared" ref="Y58:AB58" si="1">SUM(Y33:Y56)</f>
        <v>49</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4003</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73"/>
      <c r="N61" s="64" t="s">
        <v>1893</v>
      </c>
      <c r="P61" s="1680">
        <f>SUM(P62:P64)</f>
        <v>0</v>
      </c>
      <c r="Q61" s="36" t="s">
        <v>6528</v>
      </c>
    </row>
    <row r="62" spans="1:33" s="43" customFormat="1" ht="12.75" customHeight="1">
      <c r="A62" s="176"/>
      <c r="B62" s="1681" t="s">
        <v>1896</v>
      </c>
      <c r="C62" s="109" t="s">
        <v>3970</v>
      </c>
      <c r="D62" s="48"/>
      <c r="E62" s="48"/>
      <c r="F62" s="1673"/>
      <c r="H62" s="170" t="s">
        <v>3297</v>
      </c>
      <c r="J62" s="49"/>
      <c r="N62" s="381" t="s">
        <v>1896</v>
      </c>
      <c r="P62" s="976">
        <f>F70</f>
        <v>0</v>
      </c>
    </row>
    <row r="63" spans="1:33" s="43" customFormat="1" ht="12.75" customHeight="1">
      <c r="A63" s="176"/>
      <c r="B63" s="1681" t="s">
        <v>1898</v>
      </c>
      <c r="C63" s="109" t="s">
        <v>6527</v>
      </c>
      <c r="D63" s="48"/>
      <c r="E63" s="48"/>
      <c r="F63" s="1673"/>
      <c r="H63" s="170" t="s">
        <v>3968</v>
      </c>
      <c r="J63" s="49"/>
      <c r="N63" s="381" t="s">
        <v>1898</v>
      </c>
      <c r="P63" s="1261">
        <f>J70</f>
        <v>0</v>
      </c>
    </row>
    <row r="64" spans="1:33" s="43" customFormat="1" ht="12.75" customHeight="1">
      <c r="A64" s="176"/>
      <c r="B64" s="1681" t="s">
        <v>2416</v>
      </c>
      <c r="C64" s="109" t="s">
        <v>3969</v>
      </c>
      <c r="D64" s="48"/>
      <c r="E64" s="48"/>
      <c r="F64" s="1673"/>
      <c r="H64" s="170" t="s">
        <v>3973</v>
      </c>
      <c r="J64" s="49"/>
      <c r="N64" s="381" t="s">
        <v>2416</v>
      </c>
      <c r="P64" s="2983"/>
    </row>
    <row r="65" spans="1:20" s="43" customFormat="1" ht="12.75" customHeight="1">
      <c r="C65" s="4292" t="s">
        <v>4078</v>
      </c>
      <c r="D65" s="4293"/>
      <c r="E65" s="4293"/>
      <c r="F65" s="4293"/>
      <c r="G65" s="4293"/>
      <c r="H65" s="4293"/>
      <c r="I65" s="4293"/>
      <c r="J65" s="4293"/>
      <c r="K65" s="4293"/>
      <c r="L65" s="4293"/>
      <c r="M65" s="4293"/>
      <c r="N65" s="4293"/>
      <c r="O65" s="4293"/>
      <c r="P65" s="429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080" t="s">
        <v>6282</v>
      </c>
      <c r="B69" s="4080"/>
      <c r="C69" s="4080"/>
      <c r="D69" s="4080"/>
      <c r="E69" s="4080"/>
      <c r="F69" s="1260" t="s">
        <v>3542</v>
      </c>
      <c r="G69" s="4308" t="s">
        <v>6284</v>
      </c>
      <c r="H69" s="4308"/>
      <c r="I69" s="4308"/>
      <c r="J69" s="1260" t="s">
        <v>3542</v>
      </c>
      <c r="K69" s="4312" t="s">
        <v>6283</v>
      </c>
      <c r="L69" s="4312"/>
      <c r="M69" s="4312"/>
      <c r="N69" s="4312"/>
      <c r="O69" s="4306" t="s">
        <v>3542</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2984"/>
      <c r="G71" s="4298">
        <v>1</v>
      </c>
      <c r="H71" s="4299"/>
      <c r="I71" s="4300"/>
      <c r="J71" s="775"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2985"/>
      <c r="G72" s="4250">
        <v>2</v>
      </c>
      <c r="H72" s="4251"/>
      <c r="I72" s="4252"/>
      <c r="J72" s="2985"/>
      <c r="K72" s="4264">
        <v>2</v>
      </c>
      <c r="L72" s="4265"/>
      <c r="M72" s="4265"/>
      <c r="N72" s="4265"/>
      <c r="O72" s="4240"/>
      <c r="P72" s="4241"/>
      <c r="Q72" s="428"/>
      <c r="R72" s="156"/>
    </row>
    <row r="73" spans="1:20" s="42" customFormat="1" ht="24.75" customHeight="1">
      <c r="A73" s="4250">
        <v>3</v>
      </c>
      <c r="B73" s="4251"/>
      <c r="C73" s="4251"/>
      <c r="D73" s="4251"/>
      <c r="E73" s="4252"/>
      <c r="F73" s="2985"/>
      <c r="G73" s="4250">
        <v>3</v>
      </c>
      <c r="H73" s="4251"/>
      <c r="I73" s="4252"/>
      <c r="J73" s="1003" t="s">
        <v>2692</v>
      </c>
      <c r="K73" s="4264">
        <v>3</v>
      </c>
      <c r="L73" s="4265"/>
      <c r="M73" s="4265"/>
      <c r="N73" s="4265"/>
      <c r="O73" s="4421" t="s">
        <v>2692</v>
      </c>
      <c r="P73" s="4422"/>
      <c r="Q73" s="4419" t="s">
        <v>3971</v>
      </c>
      <c r="R73" s="4420"/>
      <c r="S73" s="1262"/>
      <c r="T73" s="1262"/>
    </row>
    <row r="74" spans="1:20" s="42" customFormat="1" ht="24.75" customHeight="1">
      <c r="A74" s="4250">
        <v>4</v>
      </c>
      <c r="B74" s="4251"/>
      <c r="C74" s="4251"/>
      <c r="D74" s="4251"/>
      <c r="E74" s="4252"/>
      <c r="F74" s="2985"/>
      <c r="G74" s="4250">
        <v>4</v>
      </c>
      <c r="H74" s="4251"/>
      <c r="I74" s="4252"/>
      <c r="J74" s="2985"/>
      <c r="K74" s="4264">
        <v>4</v>
      </c>
      <c r="L74" s="4265"/>
      <c r="M74" s="4265"/>
      <c r="N74" s="4265"/>
      <c r="O74" s="4421" t="s">
        <v>2692</v>
      </c>
      <c r="P74" s="4422"/>
      <c r="Q74" s="4419"/>
      <c r="R74" s="4420"/>
      <c r="S74" s="1262"/>
      <c r="T74" s="1262"/>
    </row>
    <row r="75" spans="1:20" s="42" customFormat="1" ht="24.75" customHeight="1">
      <c r="A75" s="4250">
        <v>5</v>
      </c>
      <c r="B75" s="4251"/>
      <c r="C75" s="4251"/>
      <c r="D75" s="4251"/>
      <c r="E75" s="4252"/>
      <c r="F75" s="2985"/>
      <c r="G75" s="4250">
        <v>5</v>
      </c>
      <c r="H75" s="4251"/>
      <c r="I75" s="4252"/>
      <c r="J75" s="1003" t="s">
        <v>3265</v>
      </c>
      <c r="K75" s="4264">
        <v>5</v>
      </c>
      <c r="L75" s="4265"/>
      <c r="M75" s="4265"/>
      <c r="N75" s="4265"/>
      <c r="O75" s="4240"/>
      <c r="P75" s="4241"/>
      <c r="Q75" s="4419"/>
      <c r="R75" s="4420"/>
      <c r="S75" s="1262"/>
      <c r="T75" s="1262"/>
    </row>
    <row r="76" spans="1:20" s="42" customFormat="1" ht="24" customHeight="1">
      <c r="A76" s="4250">
        <v>6</v>
      </c>
      <c r="B76" s="4251"/>
      <c r="C76" s="4251"/>
      <c r="D76" s="4251"/>
      <c r="E76" s="4252"/>
      <c r="F76" s="2985"/>
      <c r="G76" s="4250">
        <v>6</v>
      </c>
      <c r="H76" s="4251"/>
      <c r="I76" s="4252"/>
      <c r="J76" s="2985"/>
      <c r="K76" s="4264">
        <v>6</v>
      </c>
      <c r="L76" s="4265"/>
      <c r="M76" s="4265"/>
      <c r="N76" s="4265"/>
      <c r="O76" s="4240"/>
      <c r="P76" s="4241"/>
      <c r="Q76" s="4419"/>
      <c r="R76" s="4420"/>
    </row>
    <row r="77" spans="1:20" s="42" customFormat="1" ht="24.75" customHeight="1">
      <c r="A77" s="4250">
        <v>7</v>
      </c>
      <c r="B77" s="4251"/>
      <c r="C77" s="4251"/>
      <c r="D77" s="4251"/>
      <c r="E77" s="4252"/>
      <c r="F77" s="2985"/>
      <c r="G77" s="4250">
        <v>7</v>
      </c>
      <c r="H77" s="4251"/>
      <c r="I77" s="4252"/>
      <c r="J77" s="1003" t="s">
        <v>3266</v>
      </c>
      <c r="K77" s="4264">
        <v>7</v>
      </c>
      <c r="L77" s="4265"/>
      <c r="M77" s="4265"/>
      <c r="N77" s="4265"/>
      <c r="O77" s="4240"/>
      <c r="P77" s="4241"/>
      <c r="Q77" s="156"/>
      <c r="R77" s="156"/>
    </row>
    <row r="78" spans="1:20" s="42" customFormat="1" ht="24.75" customHeight="1">
      <c r="A78" s="4250">
        <v>8</v>
      </c>
      <c r="B78" s="4251"/>
      <c r="C78" s="4251"/>
      <c r="D78" s="4251"/>
      <c r="E78" s="4252"/>
      <c r="F78" s="2985"/>
      <c r="G78" s="4250">
        <v>8</v>
      </c>
      <c r="H78" s="4251"/>
      <c r="I78" s="4252"/>
      <c r="J78" s="2985"/>
      <c r="K78" s="4264">
        <v>8</v>
      </c>
      <c r="L78" s="4265"/>
      <c r="M78" s="4265"/>
      <c r="N78" s="4265"/>
      <c r="O78" s="4240"/>
      <c r="P78" s="4241"/>
      <c r="Q78" s="156"/>
      <c r="R78" s="156"/>
    </row>
    <row r="79" spans="1:20" s="42" customFormat="1" ht="24.75" customHeight="1">
      <c r="A79" s="4250">
        <v>9</v>
      </c>
      <c r="B79" s="4251"/>
      <c r="C79" s="4251"/>
      <c r="D79" s="4251"/>
      <c r="E79" s="4252"/>
      <c r="F79" s="2985"/>
      <c r="G79" s="4250">
        <v>9</v>
      </c>
      <c r="H79" s="4251"/>
      <c r="I79" s="4252"/>
      <c r="J79" s="1003" t="s">
        <v>3267</v>
      </c>
      <c r="K79" s="4264">
        <v>9</v>
      </c>
      <c r="L79" s="4265"/>
      <c r="M79" s="4265"/>
      <c r="N79" s="4265"/>
      <c r="O79" s="4240"/>
      <c r="P79" s="4241"/>
      <c r="Q79" s="156"/>
      <c r="R79" s="156"/>
    </row>
    <row r="80" spans="1:20" s="42" customFormat="1" ht="24.75" customHeight="1">
      <c r="A80" s="4250">
        <v>10</v>
      </c>
      <c r="B80" s="4251"/>
      <c r="C80" s="4251"/>
      <c r="D80" s="4251"/>
      <c r="E80" s="4252"/>
      <c r="F80" s="2985"/>
      <c r="G80" s="4250">
        <v>10</v>
      </c>
      <c r="H80" s="4251"/>
      <c r="I80" s="4252"/>
      <c r="J80" s="2985"/>
      <c r="K80" s="4264">
        <v>10</v>
      </c>
      <c r="L80" s="4265"/>
      <c r="M80" s="4265"/>
      <c r="N80" s="4265"/>
      <c r="O80" s="4240"/>
      <c r="P80" s="4241"/>
      <c r="Q80" s="156"/>
    </row>
    <row r="81" spans="1:19" s="42" customFormat="1" ht="24.75" customHeight="1">
      <c r="A81" s="4250">
        <v>11</v>
      </c>
      <c r="B81" s="4251"/>
      <c r="C81" s="4251"/>
      <c r="D81" s="4251"/>
      <c r="E81" s="4252"/>
      <c r="F81" s="2985"/>
      <c r="G81" s="4250">
        <v>11</v>
      </c>
      <c r="H81" s="4251"/>
      <c r="I81" s="4252"/>
      <c r="J81" s="1003" t="s">
        <v>3268</v>
      </c>
      <c r="K81" s="4250">
        <v>11</v>
      </c>
      <c r="L81" s="4251"/>
      <c r="M81" s="4251"/>
      <c r="N81" s="4252"/>
      <c r="O81" s="4240"/>
      <c r="P81" s="4241"/>
      <c r="Q81" s="156"/>
      <c r="R81" s="156"/>
    </row>
    <row r="82" spans="1:19" s="42" customFormat="1" ht="24.75" customHeight="1">
      <c r="A82" s="4272">
        <v>12</v>
      </c>
      <c r="B82" s="4273"/>
      <c r="C82" s="4273"/>
      <c r="D82" s="4273"/>
      <c r="E82" s="4274"/>
      <c r="F82" s="2986"/>
      <c r="G82" s="4272">
        <v>12</v>
      </c>
      <c r="H82" s="4273"/>
      <c r="I82" s="4274"/>
      <c r="J82" s="2986"/>
      <c r="K82" s="4272">
        <v>12</v>
      </c>
      <c r="L82" s="4273"/>
      <c r="M82" s="4273"/>
      <c r="N82" s="4274"/>
      <c r="O82" s="4275"/>
      <c r="P82" s="427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6374</v>
      </c>
      <c r="E86" s="57"/>
      <c r="G86" s="87"/>
      <c r="H86" s="55" t="s">
        <v>4064</v>
      </c>
      <c r="I86" s="1316" t="str">
        <f>'Part I-Project Information'!$K$94</f>
        <v>Income Averaging</v>
      </c>
      <c r="M86" s="777"/>
      <c r="N86" s="7"/>
      <c r="Q86" s="7"/>
      <c r="R86" s="367"/>
    </row>
    <row r="87" spans="1:19" s="101" customFormat="1" ht="9" customHeight="1">
      <c r="A87" s="137"/>
      <c r="B87" s="4428" t="s">
        <v>3974</v>
      </c>
      <c r="C87" s="4428"/>
      <c r="D87" s="4428"/>
      <c r="E87" s="4428"/>
      <c r="F87" s="4428"/>
      <c r="G87" s="4428"/>
      <c r="H87" s="4428"/>
      <c r="I87" s="4428"/>
      <c r="J87" s="4428"/>
      <c r="K87" s="4428"/>
      <c r="L87" s="4428"/>
      <c r="M87" s="777"/>
      <c r="N87" s="7"/>
      <c r="Q87" s="7"/>
      <c r="R87" s="367"/>
    </row>
    <row r="88" spans="1:19" s="101" customFormat="1" ht="13.5" customHeight="1">
      <c r="B88" s="4428"/>
      <c r="C88" s="4428"/>
      <c r="D88" s="4428"/>
      <c r="E88" s="4428"/>
      <c r="F88" s="4428"/>
      <c r="G88" s="4428"/>
      <c r="H88" s="4428"/>
      <c r="I88" s="4428"/>
      <c r="J88" s="4428"/>
      <c r="K88" s="4428"/>
      <c r="L88" s="4428"/>
      <c r="M88" s="782">
        <v>2</v>
      </c>
      <c r="N88" s="381" t="s">
        <v>1893</v>
      </c>
      <c r="O88" s="791">
        <f>IF(OR($P$35="Yes",NOT($J$84="9%")),0,MIN($M88,O89+O90))</f>
        <v>2</v>
      </c>
      <c r="P88" s="791">
        <f>IF(NOT($J$84="9%"),0,MIN($M88, P89+P90))</f>
        <v>0</v>
      </c>
    </row>
    <row r="89" spans="1:19" s="101" customFormat="1" ht="13.5" customHeight="1">
      <c r="A89" s="137"/>
      <c r="B89" s="1279" t="s">
        <v>1896</v>
      </c>
      <c r="C89" s="1268" t="s">
        <v>3975</v>
      </c>
      <c r="D89" s="52"/>
      <c r="H89" s="52" t="s">
        <v>3976</v>
      </c>
      <c r="I89" s="1266"/>
      <c r="J89" s="1318">
        <f>'Part VI-Revenues &amp; Expenses'!B50</f>
        <v>55.368421052631582</v>
      </c>
      <c r="L89" s="4431" t="str">
        <f>IF(AND(O89&gt;0,O90&gt;0), "CHOOSE EITHER A OR B, NOT BOTH!", "")</f>
        <v/>
      </c>
      <c r="M89" s="910">
        <v>2</v>
      </c>
      <c r="N89" s="172" t="s">
        <v>1896</v>
      </c>
      <c r="O89" s="2563">
        <v>2</v>
      </c>
      <c r="P89" s="2987"/>
      <c r="Q89" s="1295" t="str">
        <f>IF(OR($O89=$M89,$O89=0,$O89=""),"","*CHECK!*")</f>
        <v/>
      </c>
      <c r="R89" s="892" t="s">
        <v>4263</v>
      </c>
    </row>
    <row r="90" spans="1:19" s="101" customFormat="1" ht="13.5" customHeight="1">
      <c r="A90" s="1267" t="s">
        <v>3104</v>
      </c>
      <c r="B90" s="1279" t="s">
        <v>1898</v>
      </c>
      <c r="C90" s="1268" t="s">
        <v>3977</v>
      </c>
      <c r="D90" s="52"/>
      <c r="I90" s="1266"/>
      <c r="K90" s="52"/>
      <c r="L90" s="4431"/>
      <c r="M90" s="910">
        <v>2</v>
      </c>
      <c r="N90" s="172" t="s">
        <v>1898</v>
      </c>
      <c r="O90" s="2564"/>
      <c r="P90" s="2988"/>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401" t="s">
        <v>3978</v>
      </c>
      <c r="I92" s="4402"/>
      <c r="J92" s="1271" t="s">
        <v>3979</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89"/>
      <c r="J93" s="1270">
        <f>'Part VI-Revenues &amp; Expenses'!P65</f>
        <v>95</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3467</v>
      </c>
      <c r="E94" s="818"/>
      <c r="F94" s="774"/>
      <c r="I94" s="789"/>
      <c r="J94" s="789"/>
      <c r="K94" s="789"/>
      <c r="L94" s="789"/>
      <c r="M94" s="789"/>
      <c r="N94" s="381" t="s">
        <v>1898</v>
      </c>
      <c r="O94" s="2671"/>
      <c r="P94" s="2952"/>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3517</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0"/>
    </row>
    <row r="101" spans="1:21" s="101" customFormat="1" ht="12.75" customHeight="1">
      <c r="A101" s="137" t="s">
        <v>1893</v>
      </c>
      <c r="B101" s="163" t="s">
        <v>1787</v>
      </c>
      <c r="C101" s="4"/>
      <c r="D101" s="4"/>
      <c r="F101" s="291"/>
      <c r="H101" s="753" t="s">
        <v>2565</v>
      </c>
      <c r="I101" s="4279" t="s">
        <v>4246</v>
      </c>
      <c r="J101" s="4280"/>
      <c r="K101" s="4280"/>
      <c r="L101" s="4281"/>
      <c r="M101" s="72">
        <v>20</v>
      </c>
      <c r="N101" s="172" t="s">
        <v>1893</v>
      </c>
      <c r="O101" s="2566">
        <v>20</v>
      </c>
      <c r="P101" s="2991"/>
      <c r="Q101" s="1295"/>
      <c r="R101" s="892" t="s">
        <v>4263</v>
      </c>
    </row>
    <row r="102" spans="1:21" s="101" customFormat="1" ht="12.75" customHeight="1">
      <c r="A102" s="137" t="s">
        <v>1895</v>
      </c>
      <c r="B102" s="163" t="s">
        <v>3415</v>
      </c>
      <c r="D102" s="961"/>
      <c r="F102" s="1317"/>
      <c r="H102" s="753" t="s">
        <v>3483</v>
      </c>
      <c r="I102" s="4282"/>
      <c r="J102" s="4283"/>
      <c r="K102" s="4283"/>
      <c r="L102" s="4284"/>
      <c r="M102" s="2672" t="s">
        <v>1192</v>
      </c>
      <c r="N102" s="439" t="s">
        <v>1895</v>
      </c>
      <c r="O102" s="2567">
        <v>0</v>
      </c>
      <c r="P102" s="2992"/>
      <c r="R102" s="892" t="s">
        <v>4263</v>
      </c>
    </row>
    <row r="103" spans="1:21" s="43" customFormat="1" ht="12.75" customHeight="1" thickBot="1">
      <c r="A103" s="42"/>
      <c r="B103" s="1007" t="s">
        <v>3372</v>
      </c>
      <c r="C103" s="42"/>
      <c r="D103" s="48"/>
      <c r="E103" s="48"/>
      <c r="F103" s="48"/>
      <c r="G103" s="48"/>
      <c r="H103" s="36"/>
      <c r="I103" s="4285"/>
      <c r="J103" s="4286"/>
      <c r="K103" s="4286"/>
      <c r="L103" s="4287"/>
      <c r="M103" s="46"/>
      <c r="N103" s="62"/>
      <c r="O103" s="3"/>
      <c r="P103" s="2652"/>
    </row>
    <row r="104" spans="1:21" s="43" customFormat="1" ht="85.5" customHeight="1" thickTop="1" thickBot="1">
      <c r="A104" s="4176" t="s">
        <v>7000</v>
      </c>
      <c r="B104" s="4177"/>
      <c r="C104" s="4177"/>
      <c r="D104" s="4177"/>
      <c r="E104" s="4177"/>
      <c r="F104" s="4177"/>
      <c r="G104" s="4177"/>
      <c r="H104" s="4177"/>
      <c r="I104" s="4177"/>
      <c r="J104" s="4177"/>
      <c r="K104" s="4177"/>
      <c r="L104" s="4177"/>
      <c r="M104" s="4177"/>
      <c r="N104" s="4177"/>
      <c r="O104" s="4177"/>
      <c r="P104" s="4178"/>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Atlanta Metro</v>
      </c>
      <c r="K108" s="1624" t="s">
        <v>367</v>
      </c>
      <c r="L108" s="1625" t="str">
        <f>M43</f>
        <v>New Supply</v>
      </c>
      <c r="M108" s="2648">
        <v>6</v>
      </c>
      <c r="N108" s="439"/>
      <c r="O108" s="1687">
        <f>MAX(O124,O131,O138)</f>
        <v>2</v>
      </c>
      <c r="P108" s="1687">
        <f>MAX(P124,P131,P138)</f>
        <v>0</v>
      </c>
      <c r="Q108" s="108" t="s">
        <v>422</v>
      </c>
      <c r="R108" s="4217" t="s">
        <v>4123</v>
      </c>
      <c r="S108" s="4218"/>
      <c r="T108" s="4218"/>
      <c r="U108" s="4219"/>
    </row>
    <row r="109" spans="1:21" s="43" customFormat="1" ht="17.25" customHeight="1">
      <c r="A109" s="151"/>
      <c r="B109" s="109" t="s">
        <v>3468</v>
      </c>
      <c r="D109" s="41"/>
      <c r="H109" s="163"/>
      <c r="M109" s="2648"/>
      <c r="N109" s="439"/>
      <c r="O109" s="891" t="s">
        <v>3270</v>
      </c>
      <c r="P109" s="891" t="s">
        <v>3271</v>
      </c>
      <c r="Q109" s="108"/>
      <c r="R109" s="4220"/>
      <c r="S109" s="4221"/>
      <c r="T109" s="4221"/>
      <c r="U109" s="4222"/>
    </row>
    <row r="110" spans="1:21" s="43" customFormat="1" ht="11.25" customHeight="1">
      <c r="A110" s="151"/>
      <c r="B110" s="365" t="s">
        <v>1896</v>
      </c>
      <c r="C110" s="36" t="s">
        <v>3983</v>
      </c>
      <c r="D110" s="961"/>
      <c r="E110" s="101"/>
      <c r="F110" s="101"/>
      <c r="G110" s="101"/>
      <c r="H110" s="45"/>
      <c r="I110" s="49"/>
      <c r="M110" s="2648"/>
      <c r="N110" s="439"/>
      <c r="O110" s="2492" t="s">
        <v>2769</v>
      </c>
      <c r="P110" s="2950"/>
      <c r="Q110" s="108"/>
      <c r="R110" s="4220"/>
      <c r="S110" s="4221"/>
      <c r="T110" s="4221"/>
      <c r="U110" s="4222"/>
    </row>
    <row r="111" spans="1:21" s="43" customFormat="1" ht="11.25" customHeight="1">
      <c r="A111" s="151"/>
      <c r="B111" s="365" t="s">
        <v>1898</v>
      </c>
      <c r="C111" s="36" t="s">
        <v>3984</v>
      </c>
      <c r="D111" s="961"/>
      <c r="E111" s="101"/>
      <c r="F111" s="101"/>
      <c r="G111" s="101"/>
      <c r="H111" s="45"/>
      <c r="I111" s="49"/>
      <c r="J111" s="48"/>
      <c r="K111" s="48"/>
      <c r="L111" s="101"/>
      <c r="M111" s="101"/>
      <c r="N111" s="439"/>
      <c r="O111" s="2492" t="s">
        <v>2769</v>
      </c>
      <c r="P111" s="2951"/>
      <c r="Q111" s="108"/>
      <c r="R111" s="4220"/>
      <c r="S111" s="4221"/>
      <c r="T111" s="4221"/>
      <c r="U111" s="4222"/>
    </row>
    <row r="112" spans="1:21" s="43" customFormat="1" ht="11.25" customHeight="1">
      <c r="A112" s="151"/>
      <c r="B112" s="365" t="s">
        <v>2416</v>
      </c>
      <c r="C112" s="36" t="s">
        <v>6385</v>
      </c>
      <c r="D112" s="961"/>
      <c r="E112" s="101"/>
      <c r="F112" s="101"/>
      <c r="G112" s="101"/>
      <c r="H112" s="45"/>
      <c r="I112" s="49"/>
      <c r="J112" s="48"/>
      <c r="K112" s="48"/>
      <c r="L112" s="101"/>
      <c r="M112" s="101"/>
      <c r="N112" s="439"/>
      <c r="O112" s="2492" t="s">
        <v>2769</v>
      </c>
      <c r="P112" s="2951"/>
      <c r="Q112" s="108"/>
      <c r="R112" s="4220"/>
      <c r="S112" s="4221"/>
      <c r="T112" s="4221"/>
      <c r="U112" s="4222"/>
    </row>
    <row r="113" spans="1:21" s="43" customFormat="1" ht="11.25" customHeight="1">
      <c r="A113" s="151"/>
      <c r="B113" s="365" t="s">
        <v>1178</v>
      </c>
      <c r="C113" s="36" t="s">
        <v>6386</v>
      </c>
      <c r="D113" s="961"/>
      <c r="E113" s="101"/>
      <c r="F113" s="101"/>
      <c r="G113" s="101"/>
      <c r="H113" s="45"/>
      <c r="I113" s="49"/>
      <c r="J113" s="48"/>
      <c r="K113" s="48"/>
      <c r="L113" s="101"/>
      <c r="M113" s="101"/>
      <c r="N113" s="439"/>
      <c r="O113" s="2492" t="s">
        <v>2769</v>
      </c>
      <c r="P113" s="2951"/>
      <c r="Q113" s="108"/>
      <c r="R113" s="4220"/>
      <c r="S113" s="4221"/>
      <c r="T113" s="4221"/>
      <c r="U113" s="4222"/>
    </row>
    <row r="114" spans="1:21" s="43" customFormat="1" ht="11.25" customHeight="1">
      <c r="A114" s="151"/>
      <c r="B114" s="365">
        <v>5</v>
      </c>
      <c r="C114" s="36" t="s">
        <v>6546</v>
      </c>
      <c r="D114" s="961"/>
      <c r="E114" s="101"/>
      <c r="F114" s="101"/>
      <c r="G114" s="101"/>
      <c r="H114" s="45"/>
      <c r="I114" s="49"/>
      <c r="J114" s="48"/>
      <c r="K114" s="48"/>
      <c r="L114" s="101"/>
      <c r="M114" s="101"/>
      <c r="N114" s="439"/>
      <c r="O114" s="2492" t="s">
        <v>2769</v>
      </c>
      <c r="P114" s="2952"/>
      <c r="Q114" s="108"/>
      <c r="R114" s="4220"/>
      <c r="S114" s="4221"/>
      <c r="T114" s="4221"/>
      <c r="U114" s="4222"/>
    </row>
    <row r="115" spans="1:21" s="43" customFormat="1" ht="3" customHeight="1">
      <c r="A115" s="151"/>
      <c r="B115" s="104"/>
      <c r="D115" s="41"/>
      <c r="H115" s="45"/>
      <c r="I115" s="49"/>
      <c r="J115" s="48"/>
      <c r="K115" s="48"/>
      <c r="M115" s="2648"/>
      <c r="N115" s="439"/>
      <c r="O115" s="3"/>
      <c r="P115" s="3"/>
      <c r="Q115" s="108"/>
      <c r="R115" s="4220"/>
      <c r="S115" s="4221"/>
      <c r="T115" s="4221"/>
      <c r="U115" s="4222"/>
    </row>
    <row r="116" spans="1:21" s="43" customFormat="1" ht="13.5" customHeight="1">
      <c r="A116" s="151"/>
      <c r="B116" s="109" t="s">
        <v>3472</v>
      </c>
      <c r="D116" s="41"/>
      <c r="F116" s="4237" t="s">
        <v>3346</v>
      </c>
      <c r="G116" s="4237"/>
      <c r="H116" s="4237"/>
      <c r="I116" s="4237"/>
      <c r="J116" s="4237" t="s">
        <v>3347</v>
      </c>
      <c r="K116" s="4237"/>
      <c r="L116" s="4237"/>
      <c r="M116" s="4237"/>
      <c r="N116" s="439"/>
      <c r="O116" s="4262" t="s">
        <v>4065</v>
      </c>
      <c r="P116" s="4263"/>
      <c r="Q116" s="108"/>
      <c r="R116" s="4220"/>
      <c r="S116" s="4221"/>
      <c r="T116" s="4221"/>
      <c r="U116" s="4222"/>
    </row>
    <row r="117" spans="1:21" s="43" customFormat="1" ht="12.75" customHeight="1">
      <c r="A117" s="151"/>
      <c r="C117" s="462" t="s">
        <v>3471</v>
      </c>
      <c r="D117" s="552"/>
      <c r="E117" s="265"/>
      <c r="F117" s="4226" t="s">
        <v>6971</v>
      </c>
      <c r="G117" s="4227"/>
      <c r="H117" s="4404"/>
      <c r="I117" s="4405"/>
      <c r="J117" s="4226">
        <v>-84.357290000000006</v>
      </c>
      <c r="K117" s="4227"/>
      <c r="L117" s="4404"/>
      <c r="M117" s="4405"/>
      <c r="N117" s="439"/>
      <c r="Q117" s="108"/>
      <c r="R117" s="4220"/>
      <c r="S117" s="4221"/>
      <c r="T117" s="4221"/>
      <c r="U117" s="4222"/>
    </row>
    <row r="118" spans="1:21" s="43" customFormat="1" ht="12.75" customHeight="1">
      <c r="A118" s="4415" t="s">
        <v>3541</v>
      </c>
      <c r="B118" s="4415"/>
      <c r="E118" s="1252" t="s">
        <v>6387</v>
      </c>
      <c r="F118" s="4277">
        <v>34.020060000000001</v>
      </c>
      <c r="G118" s="4278"/>
      <c r="H118" s="4416"/>
      <c r="I118" s="4417"/>
      <c r="J118" s="4277">
        <v>-84.361689999999996</v>
      </c>
      <c r="K118" s="4278"/>
      <c r="L118" s="4416"/>
      <c r="M118" s="4417"/>
      <c r="N118" s="439"/>
      <c r="O118" s="2568">
        <v>0.27</v>
      </c>
      <c r="P118" s="2993"/>
      <c r="Q118" s="108"/>
      <c r="R118" s="4220"/>
      <c r="S118" s="4221"/>
      <c r="T118" s="4221"/>
      <c r="U118" s="4222"/>
    </row>
    <row r="119" spans="1:21" s="43" customFormat="1" ht="12.75" customHeight="1">
      <c r="A119" s="4415"/>
      <c r="B119" s="4415"/>
      <c r="C119" s="462" t="s">
        <v>3515</v>
      </c>
      <c r="D119" s="552"/>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52" t="s">
        <v>3514</v>
      </c>
      <c r="F120" s="4238"/>
      <c r="G120" s="4239"/>
      <c r="H120" s="4288"/>
      <c r="I120" s="4289"/>
      <c r="J120" s="4238"/>
      <c r="K120" s="4239"/>
      <c r="L120" s="4288"/>
      <c r="M120" s="4289"/>
      <c r="N120" s="439"/>
      <c r="O120" s="2568"/>
      <c r="P120" s="2993"/>
      <c r="Q120" s="108"/>
      <c r="R120" s="4223"/>
      <c r="S120" s="4224"/>
      <c r="T120" s="4224"/>
      <c r="U120" s="4225"/>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6382</v>
      </c>
      <c r="B122" s="104"/>
      <c r="D122" s="41"/>
      <c r="F122" s="61" t="s">
        <v>6295</v>
      </c>
      <c r="I122" s="4418" t="str">
        <f>IF(AND(O124&gt;0,O131&gt;0),"Pick A or B, not both!","")</f>
        <v/>
      </c>
      <c r="J122" s="4418"/>
      <c r="K122" s="4418" t="str">
        <f>IF(AND(P124&gt;0,P131&gt;0),"Pick A or B, not both!","")</f>
        <v/>
      </c>
      <c r="L122" s="4418"/>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3368</v>
      </c>
      <c r="D124" s="41"/>
      <c r="F124" s="45" t="s">
        <v>3423</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48"/>
      <c r="N125" s="381"/>
      <c r="O125" s="2671"/>
      <c r="P125" s="2952"/>
      <c r="Q125" s="108"/>
    </row>
    <row r="126" spans="1:21" s="401" customFormat="1" ht="36.75" customHeight="1">
      <c r="B126" s="423" t="s">
        <v>1896</v>
      </c>
      <c r="C126" s="3950" t="s">
        <v>6390</v>
      </c>
      <c r="D126" s="3950"/>
      <c r="E126" s="3950"/>
      <c r="F126" s="3950"/>
      <c r="G126" s="3950"/>
      <c r="H126" s="3950"/>
      <c r="I126" s="4406" t="s">
        <v>3513</v>
      </c>
      <c r="J126" s="4407"/>
      <c r="K126" s="4407"/>
      <c r="L126" s="4408"/>
      <c r="M126" s="479">
        <v>6</v>
      </c>
      <c r="N126" s="452" t="s">
        <v>1896</v>
      </c>
      <c r="O126" s="2569"/>
      <c r="P126" s="2994"/>
      <c r="Q126" s="1295"/>
      <c r="R126" s="892" t="s">
        <v>4263</v>
      </c>
    </row>
    <row r="127" spans="1:21" s="401" customFormat="1" ht="12" customHeight="1">
      <c r="A127" s="531" t="s">
        <v>1304</v>
      </c>
      <c r="B127" s="423" t="s">
        <v>1898</v>
      </c>
      <c r="C127" s="3950" t="s">
        <v>6384</v>
      </c>
      <c r="D127" s="3950"/>
      <c r="E127" s="3950"/>
      <c r="F127" s="3950"/>
      <c r="G127" s="534"/>
      <c r="I127" s="4409"/>
      <c r="J127" s="4410"/>
      <c r="K127" s="4410"/>
      <c r="L127" s="4411"/>
      <c r="M127" s="72">
        <v>5</v>
      </c>
      <c r="N127" s="421" t="s">
        <v>1898</v>
      </c>
      <c r="O127" s="2570"/>
      <c r="P127" s="2995"/>
      <c r="Q127" s="1295"/>
      <c r="R127" s="892" t="s">
        <v>4263</v>
      </c>
    </row>
    <row r="128" spans="1:21" s="401" customFormat="1" ht="12" customHeight="1">
      <c r="B128" s="423"/>
      <c r="C128" s="3950"/>
      <c r="D128" s="3950"/>
      <c r="E128" s="3950"/>
      <c r="F128" s="3950"/>
      <c r="G128" s="4120" t="s">
        <v>6388</v>
      </c>
      <c r="H128" s="4403"/>
      <c r="I128" s="4409"/>
      <c r="J128" s="4410"/>
      <c r="K128" s="4410"/>
      <c r="L128" s="4411"/>
      <c r="M128" s="4429" t="str">
        <f>IF(AND(O127&gt;0,O126&gt;0),"Pick A1 or A2!","")</f>
        <v/>
      </c>
      <c r="N128" s="4430"/>
      <c r="O128" s="4430"/>
      <c r="P128" s="4430"/>
      <c r="Q128" s="1295"/>
      <c r="R128" s="1260" t="s">
        <v>6565</v>
      </c>
      <c r="S128" s="1260" t="s">
        <v>6383</v>
      </c>
    </row>
    <row r="129" spans="1:21" s="401" customFormat="1" ht="12" customHeight="1">
      <c r="B129" s="423"/>
      <c r="C129" s="3950"/>
      <c r="D129" s="3950"/>
      <c r="E129" s="3950"/>
      <c r="F129" s="3950"/>
      <c r="G129" s="2571"/>
      <c r="H129" s="2996"/>
      <c r="I129" s="4409"/>
      <c r="J129" s="4410"/>
      <c r="K129" s="4410"/>
      <c r="L129" s="4411"/>
      <c r="Q129" s="895"/>
      <c r="R129" s="1626">
        <v>0.25</v>
      </c>
      <c r="S129" s="1626">
        <v>5</v>
      </c>
    </row>
    <row r="130" spans="1:21" s="401" customFormat="1" ht="12" customHeight="1">
      <c r="B130" s="423"/>
      <c r="C130" s="3950"/>
      <c r="D130" s="3950"/>
      <c r="E130" s="3950"/>
      <c r="F130" s="3950"/>
      <c r="G130" s="1673"/>
      <c r="H130" s="1673"/>
      <c r="I130" s="4412"/>
      <c r="J130" s="4413"/>
      <c r="K130" s="4413"/>
      <c r="L130" s="4414"/>
      <c r="M130" s="101"/>
      <c r="N130" s="101"/>
      <c r="O130" s="101"/>
      <c r="P130" s="101"/>
      <c r="Q130" s="895"/>
      <c r="R130" s="1626">
        <v>0.5</v>
      </c>
      <c r="S130" s="1626">
        <v>4.5</v>
      </c>
    </row>
    <row r="131" spans="1:21" s="401" customFormat="1" ht="12" customHeight="1">
      <c r="A131" s="142" t="s">
        <v>1895</v>
      </c>
      <c r="B131" s="972" t="s">
        <v>3369</v>
      </c>
      <c r="C131" s="573"/>
      <c r="D131" s="573"/>
      <c r="F131" s="959" t="s">
        <v>3422</v>
      </c>
      <c r="I131" s="4424" t="s">
        <v>6972</v>
      </c>
      <c r="J131" s="4425"/>
      <c r="K131" s="4425"/>
      <c r="L131" s="4248">
        <v>4048485000</v>
      </c>
      <c r="M131" s="2648">
        <v>3</v>
      </c>
      <c r="N131" s="439" t="s">
        <v>1895</v>
      </c>
      <c r="O131" s="894">
        <f>IF(OR($J$108="Atlanta Metro",$J$108="Other Metro"),MIN($M131,O134+O135+O136),0)</f>
        <v>2</v>
      </c>
      <c r="P131" s="894">
        <f>IF(OR($J$108="Atlanta Metro",$J$108="Other Metro"),MIN($M131,P134+P135+P136),0)</f>
        <v>0</v>
      </c>
      <c r="Q131" s="480"/>
      <c r="R131" s="1627">
        <v>1</v>
      </c>
      <c r="S131" s="1627">
        <v>4</v>
      </c>
    </row>
    <row r="132" spans="1:21" s="43" customFormat="1" ht="11.25" customHeight="1">
      <c r="A132" s="151"/>
      <c r="B132" s="378" t="s">
        <v>3393</v>
      </c>
      <c r="C132" s="170" t="s">
        <v>3982</v>
      </c>
      <c r="D132" s="961"/>
      <c r="F132" s="101"/>
      <c r="G132" s="101"/>
      <c r="H132" s="45"/>
      <c r="I132" s="4426"/>
      <c r="J132" s="4427"/>
      <c r="K132" s="4427"/>
      <c r="L132" s="4249"/>
      <c r="M132" s="101"/>
      <c r="N132" s="378" t="s">
        <v>3393</v>
      </c>
      <c r="O132" s="2500" t="s">
        <v>2769</v>
      </c>
      <c r="P132" s="2962"/>
      <c r="Q132" s="108"/>
      <c r="R132" s="380"/>
      <c r="S132" s="401"/>
      <c r="T132" s="401"/>
      <c r="U132" s="401"/>
    </row>
    <row r="133" spans="1:21" s="43" customFormat="1" ht="11.25" customHeight="1">
      <c r="A133" s="151"/>
      <c r="B133" s="378" t="s">
        <v>3394</v>
      </c>
      <c r="C133" s="170" t="s">
        <v>3981</v>
      </c>
      <c r="D133" s="961"/>
      <c r="F133" s="101"/>
      <c r="G133" s="101"/>
      <c r="H133" s="45"/>
      <c r="I133" s="4231" t="s">
        <v>6973</v>
      </c>
      <c r="J133" s="4232"/>
      <c r="K133" s="4232"/>
      <c r="L133" s="4233"/>
      <c r="M133" s="101"/>
      <c r="N133" s="378" t="s">
        <v>3394</v>
      </c>
      <c r="O133" s="2671" t="s">
        <v>2769</v>
      </c>
      <c r="P133" s="2952"/>
      <c r="Q133" s="108"/>
      <c r="R133" s="380"/>
      <c r="S133" s="401"/>
      <c r="T133" s="401"/>
      <c r="U133" s="401"/>
    </row>
    <row r="134" spans="1:21" s="401" customFormat="1" ht="12" customHeight="1">
      <c r="A134" s="137"/>
      <c r="B134" s="1319" t="s">
        <v>1896</v>
      </c>
      <c r="C134" s="4164" t="s">
        <v>3469</v>
      </c>
      <c r="D134" s="4164"/>
      <c r="E134" s="4164"/>
      <c r="F134" s="4164"/>
      <c r="G134" s="4164"/>
      <c r="H134" s="4228"/>
      <c r="I134" s="4234"/>
      <c r="J134" s="4235"/>
      <c r="K134" s="4235"/>
      <c r="L134" s="4236"/>
      <c r="M134" s="72">
        <v>3</v>
      </c>
      <c r="N134" s="421" t="s">
        <v>1896</v>
      </c>
      <c r="O134" s="2563"/>
      <c r="P134" s="2997"/>
      <c r="Q134" s="895" t="str">
        <f>IF(OR($O134=$M134,$O134=0,$O134=""),"","*CHECK!*")</f>
        <v/>
      </c>
      <c r="R134" s="892" t="s">
        <v>4263</v>
      </c>
    </row>
    <row r="135" spans="1:21" s="43" customFormat="1" ht="12" customHeight="1">
      <c r="A135" s="531" t="s">
        <v>1304</v>
      </c>
      <c r="B135" s="1319" t="s">
        <v>1898</v>
      </c>
      <c r="C135" s="4164" t="s">
        <v>3470</v>
      </c>
      <c r="D135" s="4164"/>
      <c r="E135" s="4164"/>
      <c r="F135" s="4164"/>
      <c r="G135" s="4164"/>
      <c r="H135" s="4228"/>
      <c r="I135" s="4231" t="s">
        <v>6974</v>
      </c>
      <c r="J135" s="4232"/>
      <c r="K135" s="4232"/>
      <c r="L135" s="4233"/>
      <c r="M135" s="72">
        <v>2</v>
      </c>
      <c r="N135" s="421" t="s">
        <v>1898</v>
      </c>
      <c r="O135" s="2563">
        <v>2</v>
      </c>
      <c r="P135" s="2987"/>
      <c r="Q135" s="895" t="str">
        <f>IF(OR($O135=$M135,$O135=0,$O135=""),"","*CHECK!*")</f>
        <v/>
      </c>
      <c r="R135" s="892" t="s">
        <v>4263</v>
      </c>
    </row>
    <row r="136" spans="1:21" s="43" customFormat="1" ht="21.75" customHeight="1">
      <c r="A136" s="1715" t="s">
        <v>1304</v>
      </c>
      <c r="B136" s="1716" t="s">
        <v>2416</v>
      </c>
      <c r="C136" s="3950" t="s">
        <v>6547</v>
      </c>
      <c r="D136" s="3950"/>
      <c r="E136" s="3950"/>
      <c r="F136" s="3950"/>
      <c r="G136" s="3950"/>
      <c r="H136" s="3976"/>
      <c r="I136" s="4234"/>
      <c r="J136" s="4235"/>
      <c r="K136" s="4235"/>
      <c r="L136" s="4236"/>
      <c r="M136" s="479">
        <v>1</v>
      </c>
      <c r="N136" s="452" t="s">
        <v>2416</v>
      </c>
      <c r="O136" s="2572"/>
      <c r="P136" s="2998"/>
      <c r="Q136" s="895" t="str">
        <f>IF(OR($O136=$M136,$O136=0,$O136=""),"","*CHECK!*")</f>
        <v/>
      </c>
      <c r="R136" s="892" t="s">
        <v>4263</v>
      </c>
    </row>
    <row r="137" spans="1:21" s="43" customFormat="1" ht="12.6" customHeight="1">
      <c r="A137" s="483" t="s">
        <v>2608</v>
      </c>
      <c r="B137" s="163"/>
      <c r="E137" s="41"/>
      <c r="I137" s="4231" t="s">
        <v>6975</v>
      </c>
      <c r="J137" s="4232"/>
      <c r="K137" s="4232"/>
      <c r="L137" s="4233"/>
      <c r="M137" s="72"/>
      <c r="N137" s="72"/>
      <c r="O137" s="72"/>
      <c r="P137" s="72"/>
      <c r="Q137" s="367"/>
      <c r="R137" s="367"/>
    </row>
    <row r="138" spans="1:21" s="101" customFormat="1" ht="12" customHeight="1">
      <c r="A138" s="137"/>
      <c r="B138" s="423" t="s">
        <v>1178</v>
      </c>
      <c r="C138" s="163" t="s">
        <v>6391</v>
      </c>
      <c r="D138" s="163"/>
      <c r="E138" s="163"/>
      <c r="F138" s="163"/>
      <c r="G138" s="163"/>
      <c r="H138" s="163"/>
      <c r="I138" s="4331"/>
      <c r="J138" s="4332"/>
      <c r="K138" s="4332"/>
      <c r="L138" s="4333"/>
      <c r="M138" s="72">
        <v>2</v>
      </c>
      <c r="N138" s="421" t="s">
        <v>1178</v>
      </c>
      <c r="O138" s="2573"/>
      <c r="P138" s="2999"/>
      <c r="Q138" s="895" t="str">
        <f>IF(OR($O138=$M138,$O138=0,$O138=""),"","*CHECK!*")</f>
        <v/>
      </c>
      <c r="R138" s="892" t="s">
        <v>4263</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3516</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29.25" customHeight="1" thickTop="1" thickBot="1">
      <c r="A142" s="4176" t="s">
        <v>6979</v>
      </c>
      <c r="B142" s="4177"/>
      <c r="C142" s="4177"/>
      <c r="D142" s="4177"/>
      <c r="E142" s="4177"/>
      <c r="F142" s="4177"/>
      <c r="G142" s="4177"/>
      <c r="H142" s="4177"/>
      <c r="I142" s="4177"/>
      <c r="J142" s="4177"/>
      <c r="K142" s="4177"/>
      <c r="L142" s="4177"/>
      <c r="M142" s="4177"/>
      <c r="N142" s="4177"/>
      <c r="O142" s="4177"/>
      <c r="P142" s="4178"/>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6393</v>
      </c>
      <c r="C147" s="2655"/>
      <c r="D147" s="2655"/>
      <c r="E147" s="2655"/>
      <c r="G147" s="1707" t="s">
        <v>3985</v>
      </c>
      <c r="H147" s="1708" t="str">
        <f>'Part I-Project Information'!$H$77</f>
        <v>Family</v>
      </c>
      <c r="M147" s="777">
        <v>3</v>
      </c>
      <c r="N147" s="74"/>
      <c r="O147" s="2574">
        <v>3</v>
      </c>
      <c r="P147" s="3000"/>
      <c r="Q147" s="1295" t="str">
        <f>IF(OR($O147&lt;=$M147,$O147=0,$O147=""),"","*CHECK!*")</f>
        <v/>
      </c>
      <c r="R147" s="1690" t="s">
        <v>422</v>
      </c>
      <c r="S147" s="892" t="s">
        <v>4263</v>
      </c>
    </row>
    <row r="148" spans="1:19" ht="18.75" customHeight="1">
      <c r="C148" s="2575" t="s">
        <v>6561</v>
      </c>
      <c r="F148" s="2575"/>
      <c r="G148" s="2575"/>
      <c r="H148" s="2575"/>
      <c r="I148" s="2576"/>
      <c r="J148" s="2577"/>
      <c r="K148" s="2578"/>
      <c r="L148" s="2579"/>
      <c r="M148" s="2561"/>
      <c r="N148" s="27"/>
      <c r="O148" s="27"/>
      <c r="P148" s="27"/>
    </row>
    <row r="149" spans="1:19" ht="12" customHeight="1">
      <c r="B149" s="2580"/>
      <c r="C149" s="2580"/>
      <c r="D149" s="2580"/>
      <c r="E149" s="2580"/>
      <c r="H149" s="4423" t="s">
        <v>6571</v>
      </c>
      <c r="I149" s="4423"/>
      <c r="J149" s="4423"/>
      <c r="K149" s="4423" t="s">
        <v>6572</v>
      </c>
      <c r="L149" s="4423"/>
      <c r="M149" s="2561"/>
      <c r="N149" s="27"/>
    </row>
    <row r="150" spans="1:19" ht="12" customHeight="1">
      <c r="B150" s="2580"/>
      <c r="C150" s="2580"/>
      <c r="D150" s="2580"/>
      <c r="E150" s="2580"/>
      <c r="H150" s="4423"/>
      <c r="I150" s="4423"/>
      <c r="J150" s="4423"/>
      <c r="K150" s="4423"/>
      <c r="L150" s="4423"/>
      <c r="M150" s="2561"/>
      <c r="N150" s="27"/>
    </row>
    <row r="151" spans="1:19" ht="12" customHeight="1">
      <c r="B151" s="2561"/>
      <c r="C151" s="2581" t="s">
        <v>6834</v>
      </c>
      <c r="D151" s="1674"/>
      <c r="E151" s="2561"/>
      <c r="H151" s="4423"/>
      <c r="I151" s="4423"/>
      <c r="J151" s="4423"/>
      <c r="K151" s="4423"/>
      <c r="L151" s="4423"/>
      <c r="M151" s="2561"/>
      <c r="N151" s="27"/>
    </row>
    <row r="152" spans="1:19">
      <c r="B152" s="2582"/>
      <c r="C152" s="4338" t="s">
        <v>6976</v>
      </c>
      <c r="D152" s="4339"/>
      <c r="E152" s="4339"/>
      <c r="F152" s="4339"/>
      <c r="G152" s="4340"/>
      <c r="H152" s="4255" t="s">
        <v>2769</v>
      </c>
      <c r="I152" s="4255"/>
      <c r="J152" s="4255"/>
      <c r="K152" s="4255" t="s">
        <v>6869</v>
      </c>
      <c r="L152" s="4255"/>
      <c r="M152" s="2956"/>
      <c r="N152" s="27"/>
    </row>
    <row r="153" spans="1:19">
      <c r="B153" s="2582"/>
      <c r="C153" s="4335" t="s">
        <v>6977</v>
      </c>
      <c r="D153" s="4336"/>
      <c r="E153" s="4336"/>
      <c r="F153" s="4336"/>
      <c r="G153" s="4337"/>
      <c r="H153" s="4175" t="s">
        <v>2769</v>
      </c>
      <c r="I153" s="4175"/>
      <c r="J153" s="4175"/>
      <c r="K153" s="4175" t="s">
        <v>6869</v>
      </c>
      <c r="L153" s="4175"/>
      <c r="M153" s="2951"/>
      <c r="N153" s="27"/>
    </row>
    <row r="154" spans="1:19" ht="15">
      <c r="B154" s="2582"/>
      <c r="C154" s="4335" t="s">
        <v>6978</v>
      </c>
      <c r="D154" s="4336"/>
      <c r="E154" s="4336"/>
      <c r="F154" s="4336"/>
      <c r="G154" s="4337"/>
      <c r="H154" s="4175" t="s">
        <v>2772</v>
      </c>
      <c r="I154" s="4175"/>
      <c r="J154" s="4175"/>
      <c r="K154" s="4175" t="s">
        <v>2769</v>
      </c>
      <c r="L154" s="4175"/>
      <c r="M154" s="2951"/>
      <c r="N154" s="2561"/>
    </row>
    <row r="155" spans="1:19" ht="15">
      <c r="B155" s="2582"/>
      <c r="C155" s="4335"/>
      <c r="D155" s="4336"/>
      <c r="E155" s="4336"/>
      <c r="F155" s="4336"/>
      <c r="G155" s="4337"/>
      <c r="H155" s="4175"/>
      <c r="I155" s="4175"/>
      <c r="J155" s="4175"/>
      <c r="K155" s="4175"/>
      <c r="L155" s="4175"/>
      <c r="M155" s="2951"/>
      <c r="N155" s="2561"/>
    </row>
    <row r="156" spans="1:19" ht="15">
      <c r="B156" s="2582"/>
      <c r="C156" s="4335"/>
      <c r="D156" s="4336"/>
      <c r="E156" s="4336"/>
      <c r="F156" s="4336"/>
      <c r="G156" s="4337"/>
      <c r="H156" s="4175"/>
      <c r="I156" s="4175"/>
      <c r="J156" s="4175"/>
      <c r="K156" s="4175"/>
      <c r="L156" s="4175"/>
      <c r="M156" s="2951"/>
      <c r="N156" s="2561"/>
    </row>
    <row r="157" spans="1:19" ht="15">
      <c r="B157" s="2582"/>
      <c r="C157" s="4172"/>
      <c r="D157" s="4173"/>
      <c r="E157" s="4173"/>
      <c r="F157" s="4173"/>
      <c r="G157" s="4174"/>
      <c r="H157" s="4359"/>
      <c r="I157" s="4359"/>
      <c r="J157" s="4359"/>
      <c r="K157" s="4359"/>
      <c r="L157" s="4359"/>
      <c r="M157" s="2952"/>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176" t="s">
        <v>7014</v>
      </c>
      <c r="B159" s="4177"/>
      <c r="C159" s="4177"/>
      <c r="D159" s="4177"/>
      <c r="E159" s="4177"/>
      <c r="F159" s="4177"/>
      <c r="G159" s="4177"/>
      <c r="H159" s="4177"/>
      <c r="I159" s="4177"/>
      <c r="J159" s="4177"/>
      <c r="K159" s="4177"/>
      <c r="L159" s="4177"/>
      <c r="M159" s="4177"/>
      <c r="N159" s="4177"/>
      <c r="O159" s="4177"/>
      <c r="P159" s="4178"/>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3485</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6570</v>
      </c>
      <c r="D166" s="163"/>
      <c r="E166" s="163"/>
      <c r="F166" s="163"/>
      <c r="G166" s="163"/>
      <c r="H166" s="163"/>
      <c r="I166" s="163"/>
      <c r="J166" s="163"/>
      <c r="K166" s="163"/>
      <c r="L166" s="163"/>
      <c r="M166" s="417">
        <v>2</v>
      </c>
      <c r="N166" s="903" t="s">
        <v>1658</v>
      </c>
      <c r="O166" s="2583"/>
      <c r="P166" s="3001"/>
      <c r="Q166" s="1295" t="str">
        <f>IF(OR($O166=$M166,$O166=0,$O166=""),"","*CHECK!*")</f>
        <v/>
      </c>
      <c r="R166" s="892" t="s">
        <v>4263</v>
      </c>
      <c r="S166" s="1712"/>
      <c r="T166" s="1712"/>
      <c r="U166" s="1712"/>
    </row>
    <row r="167" spans="1:26" s="383" customFormat="1" ht="12" customHeight="1">
      <c r="B167" s="903" t="s">
        <v>2324</v>
      </c>
      <c r="C167" s="4360" t="s">
        <v>6424</v>
      </c>
      <c r="D167" s="4360"/>
      <c r="E167" s="4360"/>
      <c r="F167" s="4360"/>
      <c r="G167" s="4360"/>
      <c r="H167" s="4360"/>
      <c r="I167" s="4360"/>
      <c r="J167" s="4360"/>
      <c r="K167" s="4360"/>
      <c r="L167" s="903"/>
      <c r="M167" s="4368" t="s">
        <v>6301</v>
      </c>
      <c r="N167" s="4368"/>
      <c r="O167" s="4368"/>
      <c r="P167" s="4368"/>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2324</v>
      </c>
      <c r="M168" s="4364" t="s">
        <v>3424</v>
      </c>
      <c r="N168" s="4365"/>
      <c r="O168" s="4365"/>
      <c r="P168" s="4366"/>
      <c r="S168" s="1712"/>
      <c r="T168" s="1712"/>
      <c r="U168" s="1712"/>
    </row>
    <row r="169" spans="1:26" s="33" customFormat="1" ht="12.75" customHeight="1">
      <c r="B169" s="366" t="s">
        <v>2325</v>
      </c>
      <c r="C169" s="133" t="s">
        <v>4157</v>
      </c>
      <c r="D169" s="463"/>
      <c r="E169" s="463"/>
      <c r="F169" s="463"/>
      <c r="G169" s="463"/>
      <c r="H169" s="463"/>
      <c r="L169" s="366" t="s">
        <v>2325</v>
      </c>
      <c r="M169" s="4361" t="s">
        <v>3424</v>
      </c>
      <c r="N169" s="4362"/>
      <c r="O169" s="4362"/>
      <c r="P169" s="4363"/>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361" t="s">
        <v>3424</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356" t="s">
        <v>3424</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6548</v>
      </c>
      <c r="D173" s="1491"/>
      <c r="E173" s="1491"/>
      <c r="F173" s="1491"/>
      <c r="G173" s="1491"/>
      <c r="H173" s="1491"/>
      <c r="I173" s="1491"/>
      <c r="K173" s="1004"/>
      <c r="L173" s="1004"/>
      <c r="R173" s="1712"/>
      <c r="S173" s="1712"/>
      <c r="T173" s="1712"/>
      <c r="U173" s="1712"/>
    </row>
    <row r="174" spans="1:26">
      <c r="A174" s="478"/>
      <c r="B174" s="903" t="s">
        <v>2324</v>
      </c>
      <c r="C174" s="4367" t="s">
        <v>6430</v>
      </c>
      <c r="D174" s="4367"/>
      <c r="E174" s="4367"/>
      <c r="F174" s="4367"/>
      <c r="G174" s="4367"/>
      <c r="H174" s="4367"/>
      <c r="I174" s="4367"/>
      <c r="J174" s="4367"/>
      <c r="K174" s="4367"/>
      <c r="L174" s="4367"/>
      <c r="M174" s="971">
        <v>1</v>
      </c>
      <c r="N174" s="903" t="s">
        <v>4283</v>
      </c>
      <c r="O174" s="2585"/>
      <c r="P174" s="3002"/>
      <c r="Q174" s="1295" t="str">
        <f>IF(OR($O174=$M174,$O174=0,$O174=""),"","*CHECK!*")</f>
        <v/>
      </c>
      <c r="R174" s="892" t="s">
        <v>4263</v>
      </c>
    </row>
    <row r="175" spans="1:26" ht="36.75" customHeight="1">
      <c r="A175" s="478"/>
      <c r="B175" s="379" t="s">
        <v>2325</v>
      </c>
      <c r="C175" s="4367" t="s">
        <v>6431</v>
      </c>
      <c r="D175" s="4367"/>
      <c r="E175" s="4367"/>
      <c r="F175" s="4367"/>
      <c r="G175" s="4367"/>
      <c r="H175" s="4367"/>
      <c r="I175" s="4367"/>
      <c r="J175" s="4367"/>
      <c r="K175" s="4367"/>
      <c r="L175" s="4367"/>
      <c r="M175" s="971">
        <v>1</v>
      </c>
      <c r="N175" s="903" t="s">
        <v>6562</v>
      </c>
      <c r="O175" s="2586"/>
      <c r="P175" s="3003"/>
      <c r="Q175" s="1295" t="str">
        <f>IF(OR($O175=$M175,$O175=0,$O175=""),"","*CHECK!*")</f>
        <v/>
      </c>
      <c r="R175" s="892" t="s">
        <v>4263</v>
      </c>
    </row>
    <row r="176" spans="1:26" ht="12" customHeight="1">
      <c r="A176" s="478"/>
      <c r="B176" s="366" t="s">
        <v>2326</v>
      </c>
      <c r="C176" s="898" t="s">
        <v>6564</v>
      </c>
      <c r="D176" s="902"/>
      <c r="E176" s="902"/>
      <c r="F176" s="902"/>
      <c r="G176" s="902"/>
      <c r="H176" s="902"/>
      <c r="I176" s="902"/>
      <c r="J176" s="902"/>
      <c r="K176" s="902"/>
      <c r="L176" s="902"/>
      <c r="M176" s="2660">
        <v>1</v>
      </c>
      <c r="N176" s="378" t="s">
        <v>6563</v>
      </c>
      <c r="O176" s="2587"/>
      <c r="P176" s="3004"/>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3986</v>
      </c>
      <c r="D178" s="33"/>
      <c r="F178" s="1275"/>
      <c r="K178" s="985"/>
      <c r="L178" s="367" t="str">
        <f>IF(OR($O178=$M178,$O178=0,$O178=""),"","* * Check Score! * *")</f>
        <v/>
      </c>
      <c r="M178" s="417">
        <v>2</v>
      </c>
      <c r="N178" s="64" t="s">
        <v>1895</v>
      </c>
      <c r="O178" s="2573"/>
      <c r="P178" s="3005"/>
      <c r="Q178" s="895" t="str">
        <f>IF(OR($O178=$M178,$O178=0,$O178=""),"","*CHECK!*")</f>
        <v/>
      </c>
      <c r="R178" s="892" t="s">
        <v>4263</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21.75" customHeight="1" thickTop="1" thickBot="1">
      <c r="A180" s="4176"/>
      <c r="B180" s="4177"/>
      <c r="C180" s="4177"/>
      <c r="D180" s="4177"/>
      <c r="E180" s="4177"/>
      <c r="F180" s="4177"/>
      <c r="G180" s="4177"/>
      <c r="H180" s="4177"/>
      <c r="I180" s="4177"/>
      <c r="J180" s="4177"/>
      <c r="K180" s="4177"/>
      <c r="L180" s="4177"/>
      <c r="M180" s="4177"/>
      <c r="N180" s="4177"/>
      <c r="O180" s="4177"/>
      <c r="P180" s="4178"/>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3486</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3826</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6"/>
      <c r="Q185" s="108"/>
      <c r="R185" s="1713"/>
      <c r="S185" s="1713"/>
      <c r="T185" s="1713"/>
      <c r="U185" s="1713"/>
    </row>
    <row r="186" spans="1:23" s="43" customFormat="1" ht="13.5" customHeight="1">
      <c r="A186" s="151"/>
      <c r="B186" s="2588" t="s">
        <v>6549</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37"/>
    </row>
    <row r="188" spans="1:23" s="1407" customFormat="1" ht="12.75" customHeight="1">
      <c r="B188" s="423" t="s">
        <v>1896</v>
      </c>
      <c r="C188" s="4360" t="s">
        <v>6466</v>
      </c>
      <c r="D188" s="4360"/>
      <c r="E188" s="4360"/>
      <c r="F188" s="4360"/>
      <c r="G188" s="4360"/>
      <c r="H188" s="4360"/>
      <c r="I188" s="4360"/>
      <c r="J188" s="4360"/>
      <c r="K188" s="4360"/>
      <c r="L188" s="4360"/>
      <c r="M188" s="966" t="s">
        <v>719</v>
      </c>
      <c r="N188" s="381" t="s">
        <v>1896</v>
      </c>
      <c r="O188" s="2502"/>
      <c r="P188" s="2965"/>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6"/>
      <c r="P189" s="2951"/>
      <c r="Q189" s="901"/>
      <c r="V189" s="1008"/>
      <c r="W189" s="1008"/>
    </row>
    <row r="190" spans="1:23" s="33" customFormat="1" ht="22.5" customHeight="1">
      <c r="A190" s="478"/>
      <c r="B190" s="423" t="s">
        <v>2416</v>
      </c>
      <c r="C190" s="4367" t="s">
        <v>6470</v>
      </c>
      <c r="D190" s="4367"/>
      <c r="E190" s="4367"/>
      <c r="F190" s="4367"/>
      <c r="G190" s="4367"/>
      <c r="H190" s="4367"/>
      <c r="I190" s="4367"/>
      <c r="J190" s="4367"/>
      <c r="K190" s="4367"/>
      <c r="L190" s="4367"/>
      <c r="M190" s="899"/>
      <c r="N190" s="381" t="s">
        <v>2416</v>
      </c>
      <c r="O190" s="2658"/>
      <c r="P190" s="2960"/>
      <c r="Q190" s="901"/>
      <c r="V190" s="1008"/>
      <c r="W190" s="1008"/>
    </row>
    <row r="191" spans="1:23" ht="11.45" customHeight="1">
      <c r="A191" s="137" t="s">
        <v>2021</v>
      </c>
      <c r="B191" s="175" t="s">
        <v>6468</v>
      </c>
      <c r="D191" s="33"/>
      <c r="G191" s="449"/>
      <c r="N191" s="27"/>
      <c r="O191" s="485"/>
      <c r="P191" s="485"/>
      <c r="Q191" s="2637"/>
    </row>
    <row r="192" spans="1:23" s="1407" customFormat="1" ht="23.25" customHeight="1">
      <c r="B192" s="423" t="s">
        <v>1896</v>
      </c>
      <c r="C192" s="4360" t="s">
        <v>6471</v>
      </c>
      <c r="D192" s="4360"/>
      <c r="E192" s="4360"/>
      <c r="F192" s="4360"/>
      <c r="G192" s="4360"/>
      <c r="H192" s="4360"/>
      <c r="I192" s="4360"/>
      <c r="J192" s="4360"/>
      <c r="K192" s="4360"/>
      <c r="L192" s="4360"/>
      <c r="M192" s="966" t="s">
        <v>2021</v>
      </c>
      <c r="N192" s="381" t="s">
        <v>1896</v>
      </c>
      <c r="O192" s="2502"/>
      <c r="P192" s="2965"/>
      <c r="Q192" s="1013"/>
      <c r="V192" s="1669"/>
      <c r="W192" s="1669"/>
    </row>
    <row r="193" spans="1:24" s="33" customFormat="1" ht="23.25" customHeight="1">
      <c r="A193" s="478"/>
      <c r="B193" s="423" t="s">
        <v>1898</v>
      </c>
      <c r="C193" s="4367" t="s">
        <v>6550</v>
      </c>
      <c r="D193" s="4367"/>
      <c r="E193" s="4367"/>
      <c r="F193" s="4367"/>
      <c r="G193" s="4367"/>
      <c r="H193" s="4367"/>
      <c r="I193" s="4367"/>
      <c r="J193" s="4367"/>
      <c r="K193" s="4367"/>
      <c r="L193" s="4367"/>
      <c r="M193" s="848"/>
      <c r="N193" s="381" t="s">
        <v>1898</v>
      </c>
      <c r="O193" s="2658"/>
      <c r="P193" s="2960"/>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371"/>
      <c r="B195" s="4372"/>
      <c r="C195" s="4372"/>
      <c r="D195" s="4372"/>
      <c r="E195" s="4372"/>
      <c r="F195" s="4372"/>
      <c r="G195" s="4372"/>
      <c r="H195" s="4372"/>
      <c r="I195" s="4372"/>
      <c r="J195" s="4372"/>
      <c r="K195" s="4372"/>
      <c r="L195" s="4372"/>
      <c r="M195" s="4372"/>
      <c r="N195" s="4372"/>
      <c r="O195" s="4372"/>
      <c r="P195" s="4373"/>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8</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3987</v>
      </c>
      <c r="C201" s="91"/>
      <c r="D201" s="59"/>
      <c r="E201" s="59"/>
      <c r="K201" s="1405"/>
      <c r="M201" s="967">
        <v>5</v>
      </c>
      <c r="N201" s="378" t="s">
        <v>1893</v>
      </c>
      <c r="O201" s="2573">
        <v>4</v>
      </c>
      <c r="P201" s="3005"/>
      <c r="Q201" s="1295" t="str">
        <f>IF(O201&lt;=M201,"","*CHECK!*")</f>
        <v/>
      </c>
      <c r="R201" s="892" t="s">
        <v>4263</v>
      </c>
      <c r="S201" s="1714"/>
      <c r="T201" s="1714"/>
      <c r="U201" s="1714"/>
    </row>
    <row r="202" spans="1:24" ht="12.75" customHeight="1">
      <c r="B202" s="2589"/>
      <c r="C202" s="133" t="s">
        <v>6551</v>
      </c>
      <c r="D202" s="2590"/>
      <c r="E202" s="2591"/>
      <c r="F202" s="2591"/>
      <c r="G202" s="2590"/>
      <c r="H202" s="2590"/>
      <c r="I202" s="2590"/>
      <c r="J202" s="4397" t="s">
        <v>6980</v>
      </c>
      <c r="K202" s="4398"/>
      <c r="L202" s="4399"/>
      <c r="M202" s="4400"/>
      <c r="N202" s="967"/>
      <c r="R202" s="416"/>
      <c r="S202" s="2590"/>
    </row>
    <row r="203" spans="1:24" ht="12.75" customHeight="1">
      <c r="C203" s="2592" t="s">
        <v>6552</v>
      </c>
      <c r="D203" s="418"/>
      <c r="J203" s="4394" t="s">
        <v>6981</v>
      </c>
      <c r="K203" s="4395"/>
      <c r="L203" s="4395"/>
      <c r="M203" s="439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6533</v>
      </c>
      <c r="H205" s="2593">
        <v>2019</v>
      </c>
      <c r="K205" s="378"/>
      <c r="L205" s="378"/>
      <c r="M205" s="967">
        <v>5</v>
      </c>
      <c r="N205" s="378" t="s">
        <v>1895</v>
      </c>
      <c r="O205" s="2573">
        <v>4</v>
      </c>
      <c r="P205" s="3005"/>
      <c r="Q205" s="1295" t="str">
        <f>IF(O205&lt;=M205,"","*CHECK!*")</f>
        <v/>
      </c>
      <c r="R205" s="892" t="s">
        <v>4263</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393" t="s">
        <v>6477</v>
      </c>
      <c r="G207" s="4393"/>
      <c r="H207" s="4393"/>
      <c r="I207" s="4393"/>
      <c r="J207" s="4393"/>
      <c r="K207" s="4393"/>
      <c r="L207" s="4393"/>
      <c r="M207" s="418"/>
      <c r="N207" s="27"/>
      <c r="O207" s="27"/>
      <c r="P207" s="27"/>
    </row>
    <row r="208" spans="1:24" ht="13.5" customHeight="1">
      <c r="B208" s="484"/>
      <c r="C208" s="418"/>
      <c r="D208" s="133" t="s">
        <v>6475</v>
      </c>
      <c r="E208" s="133"/>
      <c r="F208" s="4384" t="s">
        <v>6983</v>
      </c>
      <c r="G208" s="4385"/>
      <c r="H208" s="4385"/>
      <c r="I208" s="4386"/>
      <c r="J208" s="4390"/>
      <c r="K208" s="4391"/>
      <c r="L208" s="4391"/>
      <c r="M208" s="4392"/>
      <c r="N208" s="27"/>
    </row>
    <row r="209" spans="1:22" ht="13.5" customHeight="1">
      <c r="C209" s="418"/>
      <c r="D209" s="133" t="s">
        <v>6476</v>
      </c>
      <c r="E209" s="133"/>
      <c r="F209" s="4380" t="s">
        <v>6982</v>
      </c>
      <c r="G209" s="4381"/>
      <c r="H209" s="4381"/>
      <c r="I209" s="4382"/>
      <c r="J209" s="4347"/>
      <c r="K209" s="4348"/>
      <c r="L209" s="4348"/>
      <c r="M209" s="4349"/>
      <c r="N209" s="2599" t="str">
        <f>IF(P205&lt;=N205,"","*CHECK!*")</f>
        <v/>
      </c>
    </row>
    <row r="210" spans="1:22" ht="13.5" customHeight="1">
      <c r="B210" s="484"/>
      <c r="C210" s="418"/>
      <c r="D210" s="133" t="s">
        <v>6473</v>
      </c>
      <c r="E210" s="133"/>
      <c r="F210" s="4380" t="s">
        <v>6983</v>
      </c>
      <c r="G210" s="4381"/>
      <c r="H210" s="4381"/>
      <c r="I210" s="4382"/>
      <c r="J210" s="4347"/>
      <c r="K210" s="4348"/>
      <c r="L210" s="4348"/>
      <c r="M210" s="4349"/>
      <c r="N210" s="27"/>
    </row>
    <row r="211" spans="1:22" ht="13.5" customHeight="1">
      <c r="B211" s="418"/>
      <c r="C211" s="418"/>
      <c r="D211" s="133" t="s">
        <v>6474</v>
      </c>
      <c r="E211" s="133"/>
      <c r="F211" s="4377" t="s">
        <v>6984</v>
      </c>
      <c r="G211" s="4378"/>
      <c r="H211" s="4378"/>
      <c r="I211" s="4379"/>
      <c r="J211" s="4344"/>
      <c r="K211" s="4345"/>
      <c r="L211" s="4345"/>
      <c r="M211" s="4346"/>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40.5" customHeight="1" thickTop="1" thickBot="1">
      <c r="A215" s="4176" t="s">
        <v>7001</v>
      </c>
      <c r="B215" s="4177"/>
      <c r="C215" s="4177"/>
      <c r="D215" s="4177"/>
      <c r="E215" s="4177"/>
      <c r="F215" s="4177"/>
      <c r="G215" s="4177"/>
      <c r="H215" s="4177"/>
      <c r="I215" s="4177"/>
      <c r="J215" s="4177"/>
      <c r="K215" s="4177"/>
      <c r="L215" s="4177"/>
      <c r="M215" s="4177"/>
      <c r="N215" s="4177"/>
      <c r="O215" s="4177"/>
      <c r="P215" s="4178"/>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6542</v>
      </c>
      <c r="D221" s="39"/>
      <c r="E221" s="36"/>
      <c r="F221" s="777"/>
      <c r="G221" s="2660" t="s">
        <v>3273</v>
      </c>
      <c r="H221" s="1277">
        <f>IF('Part VI-Revenues &amp; Expenses'!$P$67=0,0,'Part VI-Revenues &amp; Expenses'!$P$64/'Part VI-Revenues &amp; Expenses'!$P$67)</f>
        <v>0</v>
      </c>
      <c r="J221" s="449" t="s">
        <v>4160</v>
      </c>
      <c r="K221" s="4270" t="str">
        <f>'Part I-Project Information'!$K$94</f>
        <v>Income Averaging</v>
      </c>
      <c r="L221" s="4271"/>
      <c r="M221" s="60"/>
      <c r="N221" s="777"/>
      <c r="O221" s="2652"/>
      <c r="P221" s="3"/>
    </row>
    <row r="222" spans="1:22" ht="12" customHeight="1">
      <c r="A222" s="1401" t="s">
        <v>1893</v>
      </c>
      <c r="B222" s="1404" t="s">
        <v>4158</v>
      </c>
      <c r="C222" s="404"/>
      <c r="D222" s="418" t="s">
        <v>4159</v>
      </c>
      <c r="M222" s="72">
        <v>1</v>
      </c>
      <c r="N222" s="439" t="s">
        <v>1893</v>
      </c>
      <c r="O222" s="2600"/>
      <c r="P222" s="3007"/>
      <c r="Q222" s="895" t="str">
        <f>IF(OR($O222=$M222,$O222=0,$O222=""),"","*CHECK!*")</f>
        <v/>
      </c>
      <c r="R222" s="892" t="s">
        <v>4263</v>
      </c>
    </row>
    <row r="223" spans="1:22" ht="12" customHeight="1">
      <c r="A223" s="1401" t="s">
        <v>1895</v>
      </c>
      <c r="B223" s="1404" t="s">
        <v>3975</v>
      </c>
      <c r="C223" s="404"/>
      <c r="D223" s="418" t="s">
        <v>4242</v>
      </c>
      <c r="M223" s="80">
        <v>1</v>
      </c>
      <c r="N223" s="439" t="s">
        <v>1895</v>
      </c>
      <c r="O223" s="2564">
        <v>1</v>
      </c>
      <c r="P223" s="2988"/>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3487</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375" t="str">
        <f>IF(OR(SUM(T230:T231)&gt;1,SUM(Q230:Q231)&gt;1),"Only one category can be met by other means!","")</f>
        <v/>
      </c>
      <c r="N230" s="439" t="s">
        <v>1893</v>
      </c>
      <c r="O230" s="2492"/>
      <c r="P230" s="2950"/>
      <c r="Q230" s="914">
        <f>IF(L230="Yes",1,0)</f>
        <v>0</v>
      </c>
      <c r="R230" s="1714"/>
      <c r="S230" s="1714"/>
      <c r="T230" s="1714"/>
      <c r="U230" s="1714"/>
      <c r="V230" s="1714"/>
    </row>
    <row r="231" spans="1:27" ht="11.25" customHeight="1">
      <c r="A231" s="1401" t="s">
        <v>1895</v>
      </c>
      <c r="B231" s="969" t="s">
        <v>3397</v>
      </c>
      <c r="D231" s="558"/>
      <c r="L231" s="904"/>
      <c r="M231" s="4375"/>
      <c r="N231" s="439" t="s">
        <v>1895</v>
      </c>
      <c r="O231" s="2671"/>
      <c r="P231" s="2952"/>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6" t="s">
        <v>7002</v>
      </c>
      <c r="B233" s="4177"/>
      <c r="C233" s="4177"/>
      <c r="D233" s="4177"/>
      <c r="E233" s="4177"/>
      <c r="F233" s="4177"/>
      <c r="G233" s="4177"/>
      <c r="H233" s="4177"/>
      <c r="I233" s="4177"/>
      <c r="J233" s="4177"/>
      <c r="K233" s="4177"/>
      <c r="L233" s="4177"/>
      <c r="M233" s="4177"/>
      <c r="N233" s="4177"/>
      <c r="O233" s="4177"/>
      <c r="P233" s="4178"/>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4239</v>
      </c>
      <c r="D237" s="41"/>
      <c r="E237" s="41"/>
      <c r="F237" s="41"/>
      <c r="G237" s="41"/>
      <c r="H237" s="41"/>
      <c r="I237" s="41"/>
      <c r="J237" s="41"/>
      <c r="K237" s="41"/>
      <c r="L237" s="41"/>
      <c r="M237" s="2648">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7"/>
      <c r="P238" s="2971"/>
      <c r="Q238" s="1722"/>
      <c r="R238" s="1723"/>
      <c r="S238" s="1723"/>
      <c r="T238" s="1723"/>
      <c r="U238" s="899"/>
      <c r="V238" s="899"/>
      <c r="W238" s="899"/>
      <c r="X238" s="899"/>
      <c r="Y238" s="899"/>
      <c r="Z238" s="899"/>
      <c r="AA238" s="899"/>
    </row>
    <row r="239" spans="1:27" s="116" customFormat="1" ht="11.25" customHeight="1">
      <c r="A239" s="365"/>
      <c r="B239" s="423" t="s">
        <v>1896</v>
      </c>
      <c r="C239" s="133" t="s">
        <v>6554</v>
      </c>
      <c r="E239" s="419" t="s">
        <v>3452</v>
      </c>
      <c r="G239" s="2601"/>
      <c r="H239" s="378" t="s">
        <v>587</v>
      </c>
      <c r="I239" s="4334"/>
      <c r="J239" s="4334"/>
      <c r="L239" s="2602" t="s">
        <v>6556</v>
      </c>
      <c r="M239" s="4179"/>
      <c r="N239" s="4179"/>
    </row>
    <row r="240" spans="1:27" s="116" customFormat="1" ht="11.25" customHeight="1">
      <c r="A240" s="365"/>
      <c r="B240" s="423" t="s">
        <v>1898</v>
      </c>
      <c r="C240" s="133" t="s">
        <v>6555</v>
      </c>
      <c r="E240" s="419" t="s">
        <v>3452</v>
      </c>
      <c r="G240" s="2603"/>
      <c r="H240" s="378" t="s">
        <v>587</v>
      </c>
      <c r="I240" s="4376"/>
      <c r="J240" s="4376"/>
      <c r="L240" s="2602" t="s">
        <v>6556</v>
      </c>
      <c r="M240" s="4383"/>
      <c r="N240" s="438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176"/>
      <c r="B243" s="4177"/>
      <c r="C243" s="4177"/>
      <c r="D243" s="4177"/>
      <c r="E243" s="4177"/>
      <c r="F243" s="4177"/>
      <c r="G243" s="4177"/>
      <c r="H243" s="4177"/>
      <c r="I243" s="4177"/>
      <c r="J243" s="4177"/>
      <c r="K243" s="4177"/>
      <c r="L243" s="4177"/>
      <c r="M243" s="4177"/>
      <c r="N243" s="4177"/>
      <c r="O243" s="4177"/>
      <c r="P243" s="4178"/>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4161</v>
      </c>
      <c r="D247" s="41"/>
      <c r="E247" s="55" t="s">
        <v>6567</v>
      </c>
      <c r="G247" s="61"/>
      <c r="M247" s="2648">
        <v>5</v>
      </c>
      <c r="N247" s="6"/>
      <c r="O247" s="944">
        <f>MIN($M247,MAX(O248,O249,O250))</f>
        <v>4</v>
      </c>
      <c r="P247" s="944">
        <f>MIN($M247,MAX(P248,P249,P250))</f>
        <v>0</v>
      </c>
      <c r="Q247" s="108" t="s">
        <v>422</v>
      </c>
      <c r="R247" s="892" t="s">
        <v>4263</v>
      </c>
      <c r="S247" s="1724"/>
      <c r="T247" s="1724"/>
      <c r="U247" s="1724"/>
      <c r="V247" s="1724"/>
      <c r="W247" s="1495"/>
      <c r="X247" s="1495"/>
    </row>
    <row r="248" spans="1:24" s="33" customFormat="1" ht="11.25" customHeight="1">
      <c r="A248" s="137" t="s">
        <v>1893</v>
      </c>
      <c r="B248" s="175" t="s">
        <v>6566</v>
      </c>
      <c r="D248" s="532"/>
      <c r="M248" s="7">
        <v>5</v>
      </c>
      <c r="N248" s="439" t="s">
        <v>1893</v>
      </c>
      <c r="O248" s="2604">
        <v>4</v>
      </c>
      <c r="P248" s="3008"/>
      <c r="Q248" s="895" t="str">
        <f>IF(OR($O248=$M248,$O248=$M248-1,$O248=0,$O248=""),"","*CHECK!*")</f>
        <v/>
      </c>
      <c r="R248" s="892" t="s">
        <v>4263</v>
      </c>
      <c r="S248" s="1724"/>
      <c r="T248" s="1724"/>
      <c r="U248" s="1724"/>
      <c r="V248" s="1724"/>
    </row>
    <row r="249" spans="1:24" s="33" customFormat="1" ht="11.25" customHeight="1">
      <c r="A249" s="137" t="s">
        <v>1895</v>
      </c>
      <c r="B249" s="175" t="s">
        <v>6568</v>
      </c>
      <c r="D249" s="532"/>
      <c r="M249" s="7">
        <v>3</v>
      </c>
      <c r="N249" s="439" t="s">
        <v>1895</v>
      </c>
      <c r="O249" s="2563"/>
      <c r="P249" s="2987"/>
      <c r="Q249" s="895" t="str">
        <f t="shared" ref="Q249:Q250" si="3">IF(OR($O249=$M249,$O249=$M249-1,$O249=0,$O249=""),"","*CHECK!*")</f>
        <v/>
      </c>
      <c r="R249" s="892" t="s">
        <v>4263</v>
      </c>
    </row>
    <row r="250" spans="1:24">
      <c r="A250" s="137" t="s">
        <v>719</v>
      </c>
      <c r="B250" s="175" t="s">
        <v>6569</v>
      </c>
      <c r="E250" s="40" t="s">
        <v>6497</v>
      </c>
      <c r="I250" s="1406"/>
      <c r="L250" s="1675"/>
      <c r="M250" s="7">
        <v>3</v>
      </c>
      <c r="N250" s="439" t="s">
        <v>719</v>
      </c>
      <c r="O250" s="2564"/>
      <c r="P250" s="2988"/>
      <c r="Q250" s="895" t="str">
        <f t="shared" si="3"/>
        <v/>
      </c>
      <c r="R250" s="892" t="s">
        <v>4263</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176" t="s">
        <v>6985</v>
      </c>
      <c r="B252" s="4177"/>
      <c r="C252" s="4177"/>
      <c r="D252" s="4177"/>
      <c r="E252" s="4177"/>
      <c r="F252" s="4177"/>
      <c r="G252" s="4177"/>
      <c r="H252" s="4177"/>
      <c r="I252" s="4177"/>
      <c r="J252" s="4177"/>
      <c r="K252" s="4177"/>
      <c r="L252" s="4177"/>
      <c r="M252" s="4177"/>
      <c r="N252" s="4177"/>
      <c r="O252" s="4177"/>
      <c r="P252" s="4178"/>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4264</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3990</v>
      </c>
      <c r="D258" s="61"/>
      <c r="E258" s="61"/>
      <c r="F258" s="44"/>
      <c r="G258" s="27"/>
      <c r="L258" s="367"/>
      <c r="M258" s="7">
        <v>3</v>
      </c>
      <c r="N258" s="421" t="s">
        <v>1896</v>
      </c>
      <c r="O258" s="2492" t="s">
        <v>2769</v>
      </c>
      <c r="P258" s="2950"/>
      <c r="Q258" s="895"/>
      <c r="R258" s="943"/>
      <c r="T258" s="929"/>
      <c r="U258" s="929"/>
    </row>
    <row r="259" spans="1:21" s="101" customFormat="1" ht="11.25" customHeight="1">
      <c r="A259" s="137"/>
      <c r="B259" s="423" t="s">
        <v>1898</v>
      </c>
      <c r="C259" s="40" t="s">
        <v>3991</v>
      </c>
      <c r="D259" s="61"/>
      <c r="E259" s="61"/>
      <c r="F259" s="44"/>
      <c r="G259" s="27"/>
      <c r="L259" s="367"/>
      <c r="M259" s="7">
        <v>2</v>
      </c>
      <c r="N259" s="779" t="s">
        <v>1898</v>
      </c>
      <c r="O259" s="2666"/>
      <c r="P259" s="2951"/>
      <c r="Q259" s="895"/>
      <c r="R259" s="943"/>
      <c r="T259" s="929"/>
      <c r="U259" s="929"/>
    </row>
    <row r="260" spans="1:21" s="101" customFormat="1" ht="10.5" customHeight="1">
      <c r="A260" s="137"/>
      <c r="B260" s="423" t="s">
        <v>2416</v>
      </c>
      <c r="C260" s="40" t="s">
        <v>3992</v>
      </c>
      <c r="D260" s="61"/>
      <c r="E260" s="61"/>
      <c r="F260" s="44"/>
      <c r="G260" s="27"/>
      <c r="K260" s="439"/>
      <c r="M260" s="7">
        <v>1</v>
      </c>
      <c r="N260" s="779" t="s">
        <v>2416</v>
      </c>
      <c r="O260" s="2671"/>
      <c r="P260" s="2952"/>
      <c r="R260" s="380"/>
      <c r="T260" s="929"/>
      <c r="U260" s="929"/>
    </row>
    <row r="261" spans="1:21" s="43" customFormat="1" ht="11.25" customHeight="1">
      <c r="A261" s="137" t="s">
        <v>1895</v>
      </c>
      <c r="B261" s="163" t="s">
        <v>4152</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4153</v>
      </c>
      <c r="C262" s="4006"/>
      <c r="D262" s="4006"/>
      <c r="E262" s="4006"/>
      <c r="F262" s="4006"/>
      <c r="G262" s="4006"/>
      <c r="H262" s="4006"/>
      <c r="I262" s="4006"/>
      <c r="J262" s="4006"/>
      <c r="K262" s="4006"/>
      <c r="L262" s="4006"/>
      <c r="M262" s="7"/>
      <c r="N262" s="439"/>
      <c r="O262" s="2662" t="s">
        <v>6869</v>
      </c>
      <c r="P262" s="3009"/>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6498</v>
      </c>
      <c r="C264" s="3963"/>
      <c r="D264" s="3963"/>
      <c r="E264" s="3963"/>
      <c r="F264" s="3963"/>
      <c r="G264" s="3963"/>
      <c r="H264" s="3963"/>
      <c r="I264" s="3963"/>
      <c r="J264" s="3963"/>
      <c r="K264" s="3963"/>
      <c r="L264" s="3963"/>
      <c r="M264" s="7"/>
      <c r="N264" s="439"/>
      <c r="O264" s="2658" t="s">
        <v>2769</v>
      </c>
      <c r="P264" s="2960"/>
      <c r="Q264" s="380"/>
      <c r="R264" s="367"/>
      <c r="T264" s="929"/>
      <c r="U264" s="929"/>
    </row>
    <row r="265" spans="1:21" s="43" customFormat="1" ht="22.5" customHeight="1">
      <c r="B265" s="3963" t="s">
        <v>6499</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3519</v>
      </c>
      <c r="B269" s="105" t="s">
        <v>3488</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6500</v>
      </c>
      <c r="C270" s="2655"/>
      <c r="D270" s="2655"/>
      <c r="E270" s="2655"/>
      <c r="F270" s="2655"/>
      <c r="G270" s="2655"/>
      <c r="H270" s="2655"/>
      <c r="I270" s="2655"/>
      <c r="J270" s="2655"/>
      <c r="K270" s="2655"/>
      <c r="L270" s="1276"/>
      <c r="M270" s="777"/>
      <c r="N270" s="74"/>
      <c r="O270" s="2493"/>
      <c r="P270" s="3006"/>
      <c r="Q270" s="108"/>
      <c r="T270" s="929"/>
      <c r="U270" s="929"/>
    </row>
    <row r="271" spans="1:21" s="43" customFormat="1" ht="12" customHeight="1">
      <c r="A271" s="137" t="s">
        <v>1893</v>
      </c>
      <c r="B271" s="163" t="s">
        <v>3489</v>
      </c>
      <c r="C271" s="87"/>
      <c r="D271" s="58"/>
      <c r="E271" s="52"/>
      <c r="G271" s="1509">
        <f>'Part VIII-Threshold Criteria'!I380</f>
        <v>0</v>
      </c>
      <c r="I271" s="40" t="s">
        <v>4284</v>
      </c>
      <c r="K271" s="1676" t="str">
        <f>'Part I-Project Information'!H100</f>
        <v>No</v>
      </c>
      <c r="M271" s="72">
        <v>2</v>
      </c>
      <c r="N271" s="439" t="s">
        <v>1893</v>
      </c>
      <c r="P271" s="3010"/>
      <c r="Q271" s="108"/>
      <c r="R271" s="943" t="s">
        <v>2554</v>
      </c>
    </row>
    <row r="272" spans="1:21" s="101" customFormat="1" ht="10.5" customHeight="1">
      <c r="A272" s="137"/>
      <c r="B272" s="365" t="s">
        <v>1896</v>
      </c>
      <c r="C272" s="36" t="s">
        <v>4016</v>
      </c>
      <c r="D272" s="33"/>
      <c r="N272" s="421" t="s">
        <v>4017</v>
      </c>
      <c r="O272" s="2492"/>
      <c r="P272" s="2950"/>
      <c r="R272" s="367"/>
    </row>
    <row r="273" spans="1:19" s="101" customFormat="1" ht="10.5" customHeight="1">
      <c r="A273" s="137"/>
      <c r="B273" s="365"/>
      <c r="C273" s="36" t="s">
        <v>6501</v>
      </c>
      <c r="D273" s="33"/>
      <c r="N273" s="421" t="s">
        <v>4018</v>
      </c>
      <c r="O273" s="2666"/>
      <c r="P273" s="2951"/>
      <c r="R273" s="367"/>
    </row>
    <row r="274" spans="1:19" s="101" customFormat="1" ht="10.5" customHeight="1">
      <c r="A274" s="137"/>
      <c r="B274" s="365" t="s">
        <v>1898</v>
      </c>
      <c r="C274" s="36" t="s">
        <v>3495</v>
      </c>
      <c r="D274" s="33"/>
      <c r="N274" s="779" t="s">
        <v>1898</v>
      </c>
      <c r="O274" s="2666"/>
      <c r="P274" s="2951"/>
      <c r="R274" s="367"/>
    </row>
    <row r="275" spans="1:19" s="101" customFormat="1" ht="10.5" customHeight="1">
      <c r="A275" s="137"/>
      <c r="B275" s="365" t="s">
        <v>2416</v>
      </c>
      <c r="C275" s="36" t="s">
        <v>4019</v>
      </c>
      <c r="D275" s="33"/>
      <c r="N275" s="779" t="s">
        <v>2416</v>
      </c>
      <c r="O275" s="2666"/>
      <c r="P275" s="2951"/>
      <c r="R275" s="367"/>
    </row>
    <row r="276" spans="1:19" s="101" customFormat="1" ht="10.5" customHeight="1">
      <c r="B276" s="365" t="s">
        <v>1178</v>
      </c>
      <c r="C276" s="36" t="s">
        <v>3496</v>
      </c>
      <c r="D276" s="33"/>
      <c r="N276" s="779" t="s">
        <v>1178</v>
      </c>
      <c r="O276" s="2671"/>
      <c r="P276" s="2951"/>
      <c r="R276" s="367"/>
    </row>
    <row r="277" spans="1:19" s="43" customFormat="1" ht="12" customHeight="1">
      <c r="A277" s="137" t="s">
        <v>1895</v>
      </c>
      <c r="B277" s="163" t="s">
        <v>3490</v>
      </c>
      <c r="C277" s="87"/>
      <c r="D277" s="58"/>
      <c r="E277" s="52"/>
      <c r="G277" s="1509" t="str">
        <f>'Part I-Project Information'!D171</f>
        <v>Housing Authority of the City of Roswell</v>
      </c>
      <c r="I277" s="459"/>
      <c r="L277" s="989"/>
      <c r="M277" s="72">
        <v>2</v>
      </c>
      <c r="N277" s="439" t="s">
        <v>1895</v>
      </c>
      <c r="P277" s="3010"/>
      <c r="Q277" s="108"/>
      <c r="R277" s="943" t="s">
        <v>2554</v>
      </c>
    </row>
    <row r="278" spans="1:19" s="101" customFormat="1" ht="10.5" customHeight="1">
      <c r="A278" s="152"/>
      <c r="B278" s="365" t="s">
        <v>1896</v>
      </c>
      <c r="C278" s="36" t="s">
        <v>4016</v>
      </c>
      <c r="D278" s="52"/>
      <c r="E278" s="52"/>
      <c r="M278" s="2648"/>
      <c r="N278" s="421" t="s">
        <v>4017</v>
      </c>
      <c r="O278" s="2492"/>
      <c r="P278" s="2950"/>
      <c r="Q278" s="108"/>
    </row>
    <row r="279" spans="1:19" s="101" customFormat="1" ht="10.5" customHeight="1">
      <c r="A279" s="137"/>
      <c r="B279" s="365"/>
      <c r="C279" s="36" t="s">
        <v>6502</v>
      </c>
      <c r="D279" s="33"/>
      <c r="N279" s="421" t="s">
        <v>4018</v>
      </c>
      <c r="O279" s="2666"/>
      <c r="P279" s="2951"/>
      <c r="R279" s="367"/>
    </row>
    <row r="280" spans="1:19" s="101" customFormat="1" ht="10.5" customHeight="1">
      <c r="A280" s="137"/>
      <c r="B280" s="365" t="s">
        <v>1898</v>
      </c>
      <c r="C280" s="36" t="s">
        <v>3507</v>
      </c>
      <c r="D280" s="33"/>
      <c r="N280" s="779" t="s">
        <v>1898</v>
      </c>
      <c r="O280" s="2666"/>
      <c r="P280" s="2951"/>
      <c r="R280" s="367"/>
    </row>
    <row r="281" spans="1:19" s="101" customFormat="1" ht="10.5" customHeight="1">
      <c r="B281" s="365" t="s">
        <v>2416</v>
      </c>
      <c r="C281" s="36" t="s">
        <v>3496</v>
      </c>
      <c r="D281" s="33"/>
      <c r="N281" s="779" t="s">
        <v>2416</v>
      </c>
      <c r="O281" s="2671"/>
      <c r="P281" s="2952"/>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3520</v>
      </c>
      <c r="B286" s="104" t="s">
        <v>1597</v>
      </c>
      <c r="D286" s="88"/>
      <c r="E286" s="88"/>
      <c r="G286" s="52"/>
      <c r="M286" s="777">
        <v>2</v>
      </c>
      <c r="N286" s="386"/>
      <c r="O286" s="2605"/>
      <c r="P286" s="965"/>
      <c r="Q286" s="108" t="s">
        <v>422</v>
      </c>
      <c r="R286" s="1725" t="s">
        <v>4263</v>
      </c>
      <c r="S286" s="1725"/>
    </row>
    <row r="287" spans="1:19" s="43" customFormat="1" ht="11.25" customHeight="1">
      <c r="A287" s="137"/>
      <c r="B287" s="112" t="s">
        <v>3274</v>
      </c>
      <c r="D287" s="88"/>
      <c r="E287" s="88"/>
      <c r="G287" s="52"/>
      <c r="I287" s="3824" t="s">
        <v>6268</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10.9" customHeight="1" thickTop="1" thickBot="1">
      <c r="A290" s="4176"/>
      <c r="B290" s="4177"/>
      <c r="C290" s="4177"/>
      <c r="D290" s="4177"/>
      <c r="E290" s="4177"/>
      <c r="F290" s="4177"/>
      <c r="G290" s="4177"/>
      <c r="H290" s="4177"/>
      <c r="I290" s="4177"/>
      <c r="J290" s="4177"/>
      <c r="K290" s="4177"/>
      <c r="L290" s="4177"/>
      <c r="M290" s="4177"/>
      <c r="N290" s="4177"/>
      <c r="O290" s="4177"/>
      <c r="P290" s="4178"/>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3518</v>
      </c>
      <c r="B294" s="104" t="s">
        <v>3492</v>
      </c>
      <c r="D294" s="88"/>
      <c r="E294" s="88"/>
      <c r="F294" s="52"/>
      <c r="G294" s="52"/>
      <c r="H294" s="52"/>
      <c r="M294" s="3">
        <v>4</v>
      </c>
      <c r="N294" s="6"/>
      <c r="O294" s="975">
        <f>O301+O321</f>
        <v>0</v>
      </c>
      <c r="P294" s="975">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74" t="str">
        <f>IF(OR(O296="No",O296="",O297="No",O297="",O298="No",O298="",O299="No",O299=""),"Unmet criterion results in no points!","")</f>
        <v>Unmet criterion results in no points!</v>
      </c>
      <c r="M296" s="4374"/>
      <c r="N296" s="366" t="s">
        <v>2324</v>
      </c>
      <c r="O296" s="2492"/>
      <c r="P296" s="2950"/>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2325</v>
      </c>
      <c r="C297" s="133" t="s">
        <v>3409</v>
      </c>
      <c r="L297" s="4374"/>
      <c r="M297" s="4374"/>
      <c r="N297" s="366" t="s">
        <v>2325</v>
      </c>
      <c r="O297" s="2666"/>
      <c r="P297" s="2951"/>
      <c r="R297" s="4370"/>
      <c r="S297" s="4370"/>
    </row>
    <row r="298" spans="1:20" s="99" customFormat="1" ht="12.75" customHeight="1">
      <c r="B298" s="366" t="s">
        <v>2326</v>
      </c>
      <c r="C298" s="133" t="s">
        <v>3408</v>
      </c>
      <c r="L298" s="4374"/>
      <c r="M298" s="4374"/>
      <c r="N298" s="366" t="s">
        <v>2326</v>
      </c>
      <c r="O298" s="2666"/>
      <c r="P298" s="2951"/>
      <c r="R298" s="4370"/>
      <c r="S298" s="4370"/>
    </row>
    <row r="299" spans="1:20" s="99" customFormat="1" ht="33.75" customHeight="1">
      <c r="B299" s="379" t="s">
        <v>2327</v>
      </c>
      <c r="C299" s="4367" t="s">
        <v>3994</v>
      </c>
      <c r="D299" s="4367"/>
      <c r="E299" s="4367"/>
      <c r="F299" s="4367"/>
      <c r="G299" s="4367"/>
      <c r="H299" s="4367"/>
      <c r="I299" s="4367"/>
      <c r="J299" s="4367"/>
      <c r="K299" s="4367"/>
      <c r="L299" s="4367"/>
      <c r="M299" s="4367"/>
      <c r="N299" s="379" t="s">
        <v>2327</v>
      </c>
      <c r="O299" s="2658"/>
      <c r="P299" s="2960"/>
    </row>
    <row r="300" spans="1:20" ht="3" customHeight="1">
      <c r="C300" s="4367"/>
      <c r="D300" s="4367"/>
      <c r="E300" s="4367"/>
      <c r="F300" s="4367"/>
      <c r="G300" s="4367"/>
      <c r="H300" s="4367"/>
      <c r="I300" s="4367"/>
      <c r="J300" s="4367"/>
      <c r="K300" s="4367"/>
      <c r="L300" s="4367"/>
      <c r="M300" s="4367"/>
    </row>
    <row r="301" spans="1:20" ht="12.75" customHeight="1">
      <c r="A301" s="911" t="s">
        <v>1893</v>
      </c>
      <c r="B301" s="175" t="s">
        <v>3493</v>
      </c>
      <c r="L301" s="367" t="str">
        <f>IF(O301&lt;=M301,"","* * Check Score! * *")</f>
        <v/>
      </c>
      <c r="M301" s="968">
        <v>3</v>
      </c>
      <c r="N301" s="439" t="s">
        <v>1893</v>
      </c>
      <c r="O301" s="2573"/>
      <c r="P301" s="3005"/>
      <c r="Q301" s="895" t="str">
        <f>IF(O301&lt;=M301,"","*CHECK!*")</f>
        <v/>
      </c>
      <c r="R301" s="4369" t="s">
        <v>4263</v>
      </c>
      <c r="S301" s="4369"/>
      <c r="T301" s="1498"/>
    </row>
    <row r="302" spans="1:20" ht="12.75" customHeight="1">
      <c r="A302" s="911"/>
      <c r="B302" s="533" t="s">
        <v>1896</v>
      </c>
      <c r="C302" s="898" t="s">
        <v>3997</v>
      </c>
      <c r="D302" s="898"/>
      <c r="E302" s="898"/>
      <c r="F302" s="898"/>
      <c r="G302" s="898"/>
      <c r="H302" s="898"/>
      <c r="I302" s="898"/>
      <c r="N302" s="27"/>
      <c r="O302" s="27"/>
      <c r="P302" s="27"/>
      <c r="R302" s="4369"/>
      <c r="S302" s="4369"/>
      <c r="T302" s="1498"/>
    </row>
    <row r="303" spans="1:20" ht="12.75" customHeight="1">
      <c r="A303" s="911"/>
      <c r="B303" s="423"/>
      <c r="C303" s="898" t="s">
        <v>3996</v>
      </c>
      <c r="D303" s="898"/>
      <c r="E303" s="898"/>
      <c r="F303" s="898"/>
      <c r="G303" s="898"/>
      <c r="H303" s="898"/>
      <c r="I303" s="898"/>
      <c r="J303" s="4194" t="s">
        <v>1900</v>
      </c>
      <c r="K303" s="4194"/>
      <c r="M303" s="4194" t="s">
        <v>1900</v>
      </c>
      <c r="N303" s="4194"/>
      <c r="O303" s="4194"/>
      <c r="P303" s="4194"/>
      <c r="R303" s="4369"/>
      <c r="S303" s="4369"/>
      <c r="T303" s="1498"/>
    </row>
    <row r="304" spans="1:20" s="43" customFormat="1" ht="12.75" customHeight="1">
      <c r="A304" s="173"/>
      <c r="B304" s="366" t="s">
        <v>2324</v>
      </c>
      <c r="C304" s="36" t="s">
        <v>1423</v>
      </c>
      <c r="I304" s="366" t="s">
        <v>2324</v>
      </c>
      <c r="J304" s="4204"/>
      <c r="K304" s="4205"/>
      <c r="L304" s="366" t="s">
        <v>2324</v>
      </c>
      <c r="M304" s="4341"/>
      <c r="N304" s="4342"/>
      <c r="O304" s="4342"/>
      <c r="P304" s="4343"/>
      <c r="R304" s="367"/>
    </row>
    <row r="305" spans="1:18" ht="12.75" customHeight="1">
      <c r="A305" s="174"/>
      <c r="B305" s="379" t="s">
        <v>2325</v>
      </c>
      <c r="C305" s="36" t="s">
        <v>3276</v>
      </c>
      <c r="I305" s="379" t="s">
        <v>2325</v>
      </c>
      <c r="J305" s="4188"/>
      <c r="K305" s="4189"/>
      <c r="L305" s="379" t="s">
        <v>2325</v>
      </c>
      <c r="M305" s="4190"/>
      <c r="N305" s="4191"/>
      <c r="O305" s="4191"/>
      <c r="P305" s="4192"/>
      <c r="R305" s="367"/>
    </row>
    <row r="306" spans="1:18" ht="12.75" customHeight="1">
      <c r="B306" s="366" t="s">
        <v>2326</v>
      </c>
      <c r="C306" s="36" t="s">
        <v>4154</v>
      </c>
      <c r="I306" s="366" t="s">
        <v>2326</v>
      </c>
      <c r="J306" s="4188"/>
      <c r="K306" s="4189"/>
      <c r="L306" s="366" t="s">
        <v>2326</v>
      </c>
      <c r="M306" s="4190"/>
      <c r="N306" s="4191"/>
      <c r="O306" s="4191"/>
      <c r="P306" s="4192"/>
      <c r="R306" s="367"/>
    </row>
    <row r="307" spans="1:18" ht="12.75" customHeight="1">
      <c r="A307" s="174"/>
      <c r="B307" s="366" t="s">
        <v>2327</v>
      </c>
      <c r="C307" s="36" t="s">
        <v>3192</v>
      </c>
      <c r="I307" s="366" t="s">
        <v>2327</v>
      </c>
      <c r="J307" s="4188"/>
      <c r="K307" s="4189"/>
      <c r="L307" s="366" t="s">
        <v>2327</v>
      </c>
      <c r="M307" s="4190"/>
      <c r="N307" s="4191"/>
      <c r="O307" s="4191"/>
      <c r="P307" s="4192"/>
      <c r="R307" s="367"/>
    </row>
    <row r="308" spans="1:18" s="43" customFormat="1" ht="12.75" customHeight="1">
      <c r="A308" s="173"/>
      <c r="B308" s="379" t="s">
        <v>2328</v>
      </c>
      <c r="C308" s="36" t="s">
        <v>2571</v>
      </c>
      <c r="I308" s="379" t="s">
        <v>2328</v>
      </c>
      <c r="J308" s="4188"/>
      <c r="K308" s="4189"/>
      <c r="L308" s="379" t="s">
        <v>2328</v>
      </c>
      <c r="M308" s="4190"/>
      <c r="N308" s="4191"/>
      <c r="O308" s="4191"/>
      <c r="P308" s="4192"/>
      <c r="R308" s="367"/>
    </row>
    <row r="309" spans="1:18" ht="12.75" customHeight="1">
      <c r="B309" s="366" t="s">
        <v>2344</v>
      </c>
      <c r="C309" s="36" t="s">
        <v>1422</v>
      </c>
      <c r="I309" s="366" t="s">
        <v>2344</v>
      </c>
      <c r="J309" s="4188"/>
      <c r="K309" s="4189"/>
      <c r="L309" s="366" t="s">
        <v>2344</v>
      </c>
      <c r="M309" s="4190"/>
      <c r="N309" s="4191"/>
      <c r="O309" s="4191"/>
      <c r="P309" s="4192"/>
      <c r="R309" s="367"/>
    </row>
    <row r="310" spans="1:18" ht="12.75" customHeight="1">
      <c r="B310" s="366" t="s">
        <v>2345</v>
      </c>
      <c r="C310" s="36" t="s">
        <v>6503</v>
      </c>
      <c r="I310" s="366" t="s">
        <v>2345</v>
      </c>
      <c r="J310" s="4188"/>
      <c r="K310" s="4189"/>
      <c r="L310" s="366" t="s">
        <v>2345</v>
      </c>
      <c r="M310" s="3011"/>
      <c r="N310" s="3012"/>
      <c r="O310" s="3012"/>
      <c r="P310" s="3013"/>
      <c r="R310" s="367"/>
    </row>
    <row r="311" spans="1:18" ht="12.75" customHeight="1">
      <c r="A311" s="174"/>
      <c r="B311" s="378" t="s">
        <v>2346</v>
      </c>
      <c r="C311" s="36" t="s">
        <v>3275</v>
      </c>
      <c r="I311" s="378" t="s">
        <v>2346</v>
      </c>
      <c r="J311" s="4188"/>
      <c r="K311" s="4189"/>
      <c r="L311" s="378" t="s">
        <v>2346</v>
      </c>
      <c r="M311" s="4190"/>
      <c r="N311" s="4191"/>
      <c r="O311" s="4191"/>
      <c r="P311" s="4192"/>
      <c r="R311" s="367"/>
    </row>
    <row r="312" spans="1:18" ht="12.75" customHeight="1">
      <c r="B312" s="378" t="s">
        <v>2347</v>
      </c>
      <c r="C312" s="36" t="s">
        <v>3998</v>
      </c>
      <c r="I312" s="378" t="s">
        <v>2347</v>
      </c>
      <c r="J312" s="4188"/>
      <c r="K312" s="4189"/>
      <c r="L312" s="378" t="s">
        <v>2347</v>
      </c>
      <c r="M312" s="4190"/>
      <c r="N312" s="4191"/>
      <c r="O312" s="4191"/>
      <c r="P312" s="4192"/>
      <c r="R312" s="367"/>
    </row>
    <row r="313" spans="1:18" ht="12.75" customHeight="1">
      <c r="B313" s="378" t="s">
        <v>3277</v>
      </c>
      <c r="C313" s="36" t="s">
        <v>3999</v>
      </c>
      <c r="I313" s="378" t="s">
        <v>3277</v>
      </c>
      <c r="J313" s="4188"/>
      <c r="K313" s="4189"/>
      <c r="L313" s="378" t="s">
        <v>3277</v>
      </c>
      <c r="M313" s="4190"/>
      <c r="N313" s="4191"/>
      <c r="O313" s="4191"/>
      <c r="P313" s="4192"/>
      <c r="R313" s="367"/>
    </row>
    <row r="314" spans="1:18" ht="12.75" customHeight="1" thickBot="1">
      <c r="B314" s="378" t="s">
        <v>6504</v>
      </c>
      <c r="C314" s="36" t="s">
        <v>6505</v>
      </c>
      <c r="I314" s="378" t="s">
        <v>6504</v>
      </c>
      <c r="J314" s="4188"/>
      <c r="K314" s="4189"/>
      <c r="L314" s="378" t="s">
        <v>6504</v>
      </c>
      <c r="M314" s="4181"/>
      <c r="N314" s="4182"/>
      <c r="O314" s="4182"/>
      <c r="P314" s="4183"/>
      <c r="R314" s="367"/>
    </row>
    <row r="315" spans="1:18" ht="12.75" customHeight="1" thickBot="1">
      <c r="B315" s="988" t="s">
        <v>4000</v>
      </c>
      <c r="H315" s="1006" t="s">
        <v>2501</v>
      </c>
      <c r="J315" s="4198">
        <f>SUM(J304:K314)</f>
        <v>0</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279" t="s">
        <v>1898</v>
      </c>
      <c r="C317" s="484" t="s">
        <v>2500</v>
      </c>
      <c r="D317" s="897"/>
      <c r="E317" s="897"/>
      <c r="F317" s="419" t="s">
        <v>6506</v>
      </c>
      <c r="H317" s="27"/>
      <c r="I317" s="27"/>
      <c r="J317" s="4329">
        <f>'Part VI-Revenues &amp; Expenses'!$P$67</f>
        <v>95</v>
      </c>
      <c r="K317" s="4330"/>
      <c r="L317" s="497"/>
      <c r="M317" s="474"/>
      <c r="N317" s="474"/>
      <c r="O317" s="962"/>
      <c r="P317" s="474"/>
    </row>
    <row r="318" spans="1:18" ht="13.5" customHeight="1">
      <c r="C318" s="897"/>
      <c r="D318" s="897"/>
      <c r="E318" s="897"/>
      <c r="F318" s="422" t="s">
        <v>6507</v>
      </c>
      <c r="J318" s="4214">
        <f>J315/J317</f>
        <v>0</v>
      </c>
      <c r="K318" s="4215"/>
      <c r="M318" s="4208">
        <f>IF($J317=0,0,$M315/$J317)</f>
        <v>0</v>
      </c>
      <c r="N318" s="4209"/>
      <c r="O318" s="4209"/>
      <c r="P318" s="4210"/>
    </row>
    <row r="319" spans="1:18" s="43" customFormat="1" ht="12.75" customHeight="1">
      <c r="C319" s="897"/>
      <c r="D319" s="897"/>
      <c r="E319" s="897"/>
      <c r="F319" s="921" t="s">
        <v>6508</v>
      </c>
      <c r="I319" s="27"/>
      <c r="J319" s="4195">
        <f>IF(L296="", IF($J318&gt;=30000, 3,IF($J318&gt;=20000, 2,IF($J318&gt;=10000,1,0))),0)</f>
        <v>0</v>
      </c>
      <c r="K319" s="4196"/>
      <c r="L319" s="482"/>
      <c r="M319" s="4195">
        <f>IF(R296="", IF($M318&gt;=30000, 3,IF($M318&gt;=20000, 2,IF($M318&gt;=10000,1,0))),0)</f>
        <v>0</v>
      </c>
      <c r="N319" s="4213"/>
      <c r="O319" s="4213"/>
      <c r="P319" s="4196"/>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4263</v>
      </c>
      <c r="V321" s="929"/>
    </row>
    <row r="322" spans="1:22" s="43" customFormat="1" ht="22.5" customHeight="1">
      <c r="A322" s="137"/>
      <c r="B322" s="423" t="s">
        <v>1896</v>
      </c>
      <c r="C322" s="3963" t="s">
        <v>3494</v>
      </c>
      <c r="D322" s="3963"/>
      <c r="E322" s="3963"/>
      <c r="F322" s="3963"/>
      <c r="G322" s="3963"/>
      <c r="H322" s="3963"/>
      <c r="I322" s="3963"/>
      <c r="J322" s="3963"/>
      <c r="K322" s="3963"/>
      <c r="L322" s="3963"/>
      <c r="M322" s="3963"/>
      <c r="N322" s="1737" t="s">
        <v>1896</v>
      </c>
      <c r="O322" s="2664"/>
      <c r="P322" s="2970"/>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1"/>
      <c r="P323" s="2952"/>
      <c r="V323" s="929"/>
    </row>
    <row r="324" spans="1:22" ht="12.75" customHeight="1">
      <c r="B324" s="365" t="s">
        <v>2416</v>
      </c>
      <c r="C324" s="418" t="s">
        <v>4001</v>
      </c>
      <c r="N324" s="779" t="s">
        <v>2416</v>
      </c>
      <c r="O324" s="2671"/>
      <c r="P324" s="2952"/>
    </row>
    <row r="325" spans="1:22" ht="12" customHeight="1" thickBot="1">
      <c r="B325" s="1007" t="s">
        <v>3372</v>
      </c>
    </row>
    <row r="326" spans="1:22" s="43" customFormat="1" ht="21.75" customHeight="1" thickTop="1" thickBot="1">
      <c r="A326" s="4176"/>
      <c r="B326" s="4177"/>
      <c r="C326" s="4177"/>
      <c r="D326" s="4177"/>
      <c r="E326" s="4177"/>
      <c r="F326" s="4177"/>
      <c r="G326" s="4177"/>
      <c r="H326" s="4177"/>
      <c r="I326" s="4177"/>
      <c r="J326" s="4177"/>
      <c r="K326" s="4177"/>
      <c r="L326" s="4177"/>
      <c r="M326" s="4177"/>
      <c r="N326" s="4177"/>
      <c r="O326" s="4177"/>
      <c r="P326" s="4178"/>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3521</v>
      </c>
      <c r="B330" s="104" t="s">
        <v>2566</v>
      </c>
      <c r="D330" s="40"/>
      <c r="G330" s="61" t="s">
        <v>6295</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4" t="s">
        <v>4067</v>
      </c>
      <c r="E332" s="3825"/>
      <c r="F332" s="3825"/>
      <c r="G332" s="3825"/>
      <c r="H332" s="3825"/>
      <c r="I332" s="382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4155</v>
      </c>
      <c r="C334" s="382"/>
      <c r="D334" s="382"/>
      <c r="E334" s="382"/>
      <c r="F334" s="382"/>
      <c r="G334" s="382"/>
      <c r="H334" s="382"/>
      <c r="I334" s="382"/>
      <c r="M334" s="402">
        <v>2</v>
      </c>
      <c r="N334" s="159" t="s">
        <v>1893</v>
      </c>
      <c r="O334" s="2573"/>
      <c r="P334" s="3005"/>
      <c r="Q334" s="895" t="str">
        <f>IF(OR($O334=$M334,$O334=0,$O334=""),"","*CHECK!*")</f>
        <v/>
      </c>
      <c r="R334" s="892" t="s">
        <v>4263</v>
      </c>
    </row>
    <row r="335" spans="1:22" s="401" customFormat="1" ht="12" customHeight="1">
      <c r="A335" s="400"/>
      <c r="B335" s="4164" t="s">
        <v>6509</v>
      </c>
      <c r="C335" s="4164"/>
      <c r="D335" s="4164"/>
      <c r="E335" s="4164"/>
      <c r="F335" s="4164"/>
      <c r="G335" s="4164"/>
      <c r="H335" s="4164"/>
      <c r="I335" s="4164"/>
      <c r="J335" s="4164"/>
      <c r="K335" s="4164"/>
      <c r="L335" s="4164"/>
      <c r="M335" s="4180" t="s">
        <v>4068</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37" t="s">
        <v>2628</v>
      </c>
      <c r="N337" s="402"/>
      <c r="O337" s="4184">
        <f>'Part VI-Revenues &amp; Expenses'!$P$67</f>
        <v>95</v>
      </c>
      <c r="P337" s="4185"/>
      <c r="Q337" s="170"/>
    </row>
    <row r="338" spans="1:19" s="401" customFormat="1" ht="12" customHeight="1">
      <c r="B338" s="4193"/>
      <c r="C338" s="4193"/>
      <c r="D338" s="4193"/>
      <c r="E338" s="4193"/>
      <c r="F338" s="4193"/>
      <c r="G338" s="4193"/>
      <c r="H338" s="4193"/>
      <c r="I338" s="4193"/>
      <c r="J338" s="4193"/>
      <c r="K338" s="4193"/>
      <c r="L338" s="4193"/>
      <c r="M338" s="1280" t="s">
        <v>2629</v>
      </c>
      <c r="N338" s="402"/>
      <c r="O338" s="4388">
        <f>IF(O337=0,0,O336/O337)</f>
        <v>0</v>
      </c>
      <c r="P338" s="4389"/>
      <c r="Q338" s="170"/>
    </row>
    <row r="339" spans="1:19" s="43" customFormat="1" ht="105.75" customHeight="1">
      <c r="A339" s="492"/>
      <c r="B339" s="3980" t="s">
        <v>3566</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3565</v>
      </c>
      <c r="B341" s="807" t="s">
        <v>4156</v>
      </c>
      <c r="C341" s="138"/>
      <c r="D341" s="766"/>
      <c r="H341" s="382"/>
      <c r="M341" s="402">
        <v>2</v>
      </c>
      <c r="N341" s="159" t="s">
        <v>1895</v>
      </c>
      <c r="O341" s="2573"/>
      <c r="P341" s="3005"/>
      <c r="Q341" s="895" t="str">
        <f>IF(OR($O341=$M341,$O341=0,$O341=""),"","*CHECK!*")</f>
        <v/>
      </c>
      <c r="R341" s="892" t="s">
        <v>4263</v>
      </c>
    </row>
    <row r="342" spans="1:19" s="401" customFormat="1" ht="11.25" customHeight="1">
      <c r="A342" s="493"/>
      <c r="B342" s="3963" t="s">
        <v>6510</v>
      </c>
      <c r="C342" s="3963"/>
      <c r="D342" s="3963"/>
      <c r="E342" s="3963"/>
      <c r="F342" s="3963"/>
      <c r="G342" s="3963"/>
      <c r="H342" s="3963"/>
      <c r="I342" s="3963"/>
      <c r="J342" s="3963"/>
      <c r="K342" s="3963"/>
      <c r="L342" s="3963"/>
      <c r="M342" s="1320" t="s">
        <v>4002</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16" t="s">
        <v>2628</v>
      </c>
      <c r="N343" s="402"/>
      <c r="O343" s="4184">
        <f>'Part VI-Revenues &amp; Expenses'!$P$67</f>
        <v>95</v>
      </c>
      <c r="P343" s="4185"/>
      <c r="Q343" s="170"/>
    </row>
    <row r="344" spans="1:19" s="401" customFormat="1" ht="11.25" customHeight="1">
      <c r="A344" s="493"/>
      <c r="B344" s="3963"/>
      <c r="C344" s="3963"/>
      <c r="D344" s="3963"/>
      <c r="E344" s="3963"/>
      <c r="F344" s="3963"/>
      <c r="G344" s="3963"/>
      <c r="H344" s="3963"/>
      <c r="I344" s="3963"/>
      <c r="J344" s="3963"/>
      <c r="K344" s="3963"/>
      <c r="L344" s="3963"/>
      <c r="M344" s="1280" t="s">
        <v>2629</v>
      </c>
      <c r="N344" s="402"/>
      <c r="O344" s="4388">
        <f>IF(O343=0,0,O342/O343)</f>
        <v>0</v>
      </c>
      <c r="P344" s="4389"/>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176"/>
      <c r="B346" s="4177"/>
      <c r="C346" s="4177"/>
      <c r="D346" s="4177"/>
      <c r="E346" s="4177"/>
      <c r="F346" s="4177"/>
      <c r="G346" s="4177"/>
      <c r="H346" s="4177"/>
      <c r="I346" s="4177"/>
      <c r="J346" s="4177"/>
      <c r="K346" s="4177"/>
      <c r="L346" s="4177"/>
      <c r="M346" s="4177"/>
      <c r="N346" s="4177"/>
      <c r="O346" s="4177"/>
      <c r="P346" s="4178"/>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3522</v>
      </c>
      <c r="B350" s="104" t="s">
        <v>4238</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c r="P353" s="3008"/>
      <c r="Q353" s="108"/>
    </row>
    <row r="354" spans="1:18" s="101" customFormat="1" ht="12.75" customHeight="1">
      <c r="A354" s="152"/>
      <c r="B354" s="86" t="s">
        <v>3302</v>
      </c>
      <c r="D354" s="45"/>
      <c r="E354" s="45"/>
      <c r="F354" s="39"/>
      <c r="G354" s="36"/>
      <c r="I354" s="36"/>
      <c r="J354" s="36"/>
      <c r="K354" s="36"/>
      <c r="L354" s="367"/>
      <c r="M354" s="2648"/>
      <c r="N354" s="6"/>
      <c r="O354" s="2607"/>
      <c r="P354" s="2988"/>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3525</v>
      </c>
      <c r="B358" s="105" t="s">
        <v>6511</v>
      </c>
      <c r="C358" s="2655"/>
      <c r="D358" s="2655"/>
      <c r="E358" s="2655"/>
      <c r="F358" s="2655"/>
      <c r="G358" s="61" t="s">
        <v>6295</v>
      </c>
      <c r="H358" s="2655"/>
      <c r="I358" s="178" t="s">
        <v>3985</v>
      </c>
      <c r="J358" s="1292" t="str">
        <f>'Part I-Project Information'!$H$77</f>
        <v>Family</v>
      </c>
      <c r="K358" s="2655"/>
      <c r="L358" s="2655"/>
      <c r="M358" s="777">
        <v>2</v>
      </c>
      <c r="N358" s="74"/>
      <c r="O358" s="2605"/>
      <c r="P358" s="965"/>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36" t="s">
        <v>1893</v>
      </c>
      <c r="P359" s="965"/>
      <c r="Q359" s="108"/>
      <c r="R359" s="892" t="s">
        <v>2554</v>
      </c>
    </row>
    <row r="360" spans="1:18" s="43" customFormat="1" ht="11.25" customHeight="1">
      <c r="A360" s="151"/>
      <c r="B360" s="52" t="s">
        <v>3826</v>
      </c>
      <c r="C360" s="2655"/>
      <c r="D360" s="2655"/>
      <c r="E360" s="2655"/>
      <c r="F360" s="2655"/>
      <c r="G360" s="2655"/>
      <c r="H360" s="2655"/>
      <c r="I360" s="2655"/>
      <c r="J360" s="2655"/>
      <c r="K360" s="2655"/>
      <c r="L360" s="1276"/>
      <c r="M360" s="777"/>
      <c r="N360" s="74"/>
      <c r="O360" s="2493"/>
      <c r="P360" s="2961"/>
      <c r="Q360" s="108"/>
    </row>
    <row r="361" spans="1:18" s="101" customFormat="1" ht="11.25" customHeight="1">
      <c r="A361" s="151"/>
      <c r="B361" s="112" t="s">
        <v>6517</v>
      </c>
      <c r="D361" s="783" t="s">
        <v>6557</v>
      </c>
      <c r="E361" s="2659"/>
      <c r="F361" s="2659"/>
      <c r="G361" s="2659"/>
      <c r="H361" s="2659"/>
      <c r="K361" s="2659"/>
      <c r="L361" s="2659"/>
      <c r="N361" s="92"/>
      <c r="O361" s="4207" t="s">
        <v>4261</v>
      </c>
      <c r="P361" s="4207"/>
      <c r="Q361" s="108"/>
    </row>
    <row r="362" spans="1:18" s="414" customFormat="1" ht="10.5" customHeight="1">
      <c r="A362" s="413"/>
      <c r="B362" s="1677" t="s">
        <v>2324</v>
      </c>
      <c r="C362" s="921" t="s">
        <v>6512</v>
      </c>
      <c r="N362" s="425" t="s">
        <v>2324</v>
      </c>
      <c r="O362" s="2608"/>
      <c r="P362" s="3014"/>
    </row>
    <row r="363" spans="1:18" s="401" customFormat="1" ht="21.75" customHeight="1">
      <c r="A363" s="142"/>
      <c r="B363" s="379" t="s">
        <v>2325</v>
      </c>
      <c r="C363" s="3950" t="s">
        <v>6513</v>
      </c>
      <c r="D363" s="3950"/>
      <c r="E363" s="3950"/>
      <c r="F363" s="3950"/>
      <c r="G363" s="3950"/>
      <c r="H363" s="3950"/>
      <c r="I363" s="3950"/>
      <c r="J363" s="3950"/>
      <c r="K363" s="3950"/>
      <c r="L363" s="3950"/>
      <c r="M363" s="3950"/>
      <c r="N363" s="159" t="s">
        <v>2325</v>
      </c>
      <c r="O363" s="2609"/>
      <c r="P363" s="3015"/>
    </row>
    <row r="364" spans="1:18" s="401" customFormat="1" ht="21.75" customHeight="1">
      <c r="A364" s="142"/>
      <c r="B364" s="379" t="s">
        <v>2326</v>
      </c>
      <c r="C364" s="3950" t="s">
        <v>6515</v>
      </c>
      <c r="D364" s="3950"/>
      <c r="E364" s="3950"/>
      <c r="F364" s="3950"/>
      <c r="G364" s="3950"/>
      <c r="H364" s="3950"/>
      <c r="I364" s="3950"/>
      <c r="J364" s="3950"/>
      <c r="K364" s="3950"/>
      <c r="L364" s="3950"/>
      <c r="M364" s="3950"/>
      <c r="N364" s="159" t="s">
        <v>2326</v>
      </c>
      <c r="O364" s="2609"/>
      <c r="P364" s="3015"/>
    </row>
    <row r="365" spans="1:18" s="101" customFormat="1" ht="11.25" customHeight="1">
      <c r="B365" s="366" t="s">
        <v>2327</v>
      </c>
      <c r="C365" s="36" t="s">
        <v>6516</v>
      </c>
      <c r="N365" s="439" t="s">
        <v>2327</v>
      </c>
      <c r="O365" s="2610"/>
      <c r="P365" s="3016"/>
    </row>
    <row r="366" spans="1:18" s="101" customFormat="1" ht="11.25" customHeight="1">
      <c r="A366" s="151"/>
      <c r="B366" s="112" t="s">
        <v>6518</v>
      </c>
      <c r="D366" s="2659"/>
      <c r="E366" s="2659"/>
      <c r="F366" s="2659"/>
      <c r="G366" s="2659"/>
      <c r="H366" s="783" t="s">
        <v>6557</v>
      </c>
      <c r="K366" s="2659"/>
      <c r="L366" s="2659"/>
      <c r="M366" s="777"/>
      <c r="N366" s="92"/>
      <c r="O366" s="4211" t="s">
        <v>4261</v>
      </c>
      <c r="P366" s="4211"/>
      <c r="Q366" s="108"/>
    </row>
    <row r="367" spans="1:18" s="414" customFormat="1" ht="12.75" customHeight="1">
      <c r="A367" s="413"/>
      <c r="B367" s="1677" t="s">
        <v>2324</v>
      </c>
      <c r="C367" s="4212" t="s">
        <v>6519</v>
      </c>
      <c r="D367" s="4212"/>
      <c r="E367" s="4212"/>
      <c r="F367" s="4212"/>
      <c r="G367" s="4212"/>
      <c r="H367" s="4212"/>
      <c r="I367" s="4212"/>
      <c r="J367" s="4212"/>
      <c r="K367" s="4212"/>
      <c r="L367" s="4212"/>
      <c r="N367" s="425" t="s">
        <v>2324</v>
      </c>
      <c r="O367" s="2608"/>
      <c r="P367" s="3014"/>
    </row>
    <row r="368" spans="1:18" s="414" customFormat="1" ht="12.75" customHeight="1">
      <c r="A368" s="413"/>
      <c r="B368" s="1677" t="s">
        <v>2325</v>
      </c>
      <c r="C368" s="4212" t="s">
        <v>6520</v>
      </c>
      <c r="D368" s="4212"/>
      <c r="E368" s="4212"/>
      <c r="F368" s="4212"/>
      <c r="G368" s="4212"/>
      <c r="H368" s="4212"/>
      <c r="I368" s="4212"/>
      <c r="J368" s="4212"/>
      <c r="K368" s="4212"/>
      <c r="L368" s="4212"/>
      <c r="M368" s="921"/>
      <c r="N368" s="425" t="s">
        <v>2325</v>
      </c>
      <c r="O368" s="2611"/>
      <c r="P368" s="3017"/>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6521</v>
      </c>
      <c r="D370" s="33"/>
      <c r="M370" s="417">
        <v>2</v>
      </c>
      <c r="N370" s="1736" t="s">
        <v>1895</v>
      </c>
      <c r="O370" s="2612"/>
      <c r="P370" s="3018"/>
      <c r="Q370" s="892" t="s">
        <v>2554</v>
      </c>
      <c r="S370" s="43"/>
      <c r="T370" s="43"/>
      <c r="U370" s="43"/>
    </row>
    <row r="371" spans="1:23" ht="12" customHeight="1">
      <c r="A371" s="478"/>
      <c r="B371" s="783" t="s">
        <v>6557</v>
      </c>
      <c r="C371" s="478"/>
      <c r="D371" s="478"/>
      <c r="E371" s="478"/>
      <c r="F371" s="478"/>
      <c r="J371" s="902"/>
      <c r="K371" s="902"/>
      <c r="L371" s="902"/>
      <c r="O371" s="4387" t="s">
        <v>4261</v>
      </c>
      <c r="P371" s="4387"/>
      <c r="Q371" s="2637"/>
      <c r="R371" s="43"/>
      <c r="S371" s="43"/>
      <c r="T371" s="43"/>
      <c r="U371" s="43"/>
    </row>
    <row r="372" spans="1:23" s="401" customFormat="1" ht="11.25" customHeight="1">
      <c r="A372" s="1678"/>
      <c r="B372" s="423" t="s">
        <v>1896</v>
      </c>
      <c r="C372" s="4206" t="s">
        <v>6558</v>
      </c>
      <c r="D372" s="4206"/>
      <c r="E372" s="4206"/>
      <c r="F372" s="4206"/>
      <c r="G372" s="4206"/>
      <c r="H372" s="4206"/>
      <c r="I372" s="4206"/>
      <c r="J372" s="4206"/>
      <c r="K372" s="4206"/>
      <c r="L372" s="4206"/>
      <c r="M372" s="4206"/>
      <c r="N372" s="381" t="s">
        <v>1896</v>
      </c>
      <c r="O372" s="2613"/>
      <c r="P372" s="3019"/>
      <c r="Q372" s="1679"/>
    </row>
    <row r="373" spans="1:23" s="101" customFormat="1" ht="11.25" customHeight="1">
      <c r="A373" s="151"/>
      <c r="B373" s="423" t="s">
        <v>1898</v>
      </c>
      <c r="C373" s="2614" t="s">
        <v>6559</v>
      </c>
      <c r="D373" s="2615"/>
      <c r="E373" s="2615"/>
      <c r="F373" s="2615"/>
      <c r="G373" s="2615"/>
      <c r="H373" s="2615"/>
      <c r="I373" s="2615"/>
      <c r="J373" s="2615"/>
      <c r="K373" s="2615"/>
      <c r="L373" s="2615"/>
      <c r="M373" s="2615"/>
      <c r="N373" s="381" t="s">
        <v>1898</v>
      </c>
      <c r="O373" s="2616"/>
      <c r="P373" s="3020"/>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176"/>
      <c r="B375" s="4177"/>
      <c r="C375" s="4177"/>
      <c r="D375" s="4177"/>
      <c r="E375" s="4177"/>
      <c r="F375" s="4177"/>
      <c r="G375" s="4177"/>
      <c r="H375" s="4177"/>
      <c r="I375" s="4177"/>
      <c r="J375" s="4177"/>
      <c r="K375" s="4177"/>
      <c r="L375" s="4177"/>
      <c r="M375" s="4177"/>
      <c r="N375" s="4177"/>
      <c r="O375" s="4177"/>
      <c r="P375" s="4178"/>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3526</v>
      </c>
      <c r="B379" s="104" t="s">
        <v>6523</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3527</v>
      </c>
      <c r="B383" s="104" t="s">
        <v>6524</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3528</v>
      </c>
      <c r="B387" s="104" t="s">
        <v>6525</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3529</v>
      </c>
      <c r="B391" s="104" t="s">
        <v>6526</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3530</v>
      </c>
      <c r="B395" s="105" t="s">
        <v>6560</v>
      </c>
      <c r="C395" s="87"/>
      <c r="D395" s="58"/>
      <c r="E395" s="52"/>
      <c r="G395" s="55"/>
      <c r="I395" s="1682" t="s">
        <v>6529</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200" t="s">
        <v>6280</v>
      </c>
      <c r="B403" s="4200"/>
      <c r="C403" s="4200"/>
      <c r="D403" s="4200"/>
      <c r="E403" s="4200"/>
      <c r="F403" s="4200"/>
      <c r="G403" s="4200"/>
      <c r="H403" s="4200"/>
      <c r="I403" s="4200"/>
      <c r="J403" s="4200"/>
      <c r="K403" s="4200"/>
      <c r="L403" s="4200"/>
      <c r="M403" s="4200"/>
      <c r="N403" s="4200"/>
      <c r="O403" s="4200"/>
      <c r="P403" s="4200"/>
    </row>
    <row r="404" spans="1:18" s="43" customFormat="1" ht="409.15" customHeight="1">
      <c r="A404" s="3958" t="s">
        <v>7013</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7" t="s">
        <v>1443</v>
      </c>
      <c r="H424" s="4197"/>
      <c r="I424" s="4197"/>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4270</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4271</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4271</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4270</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4270</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4270</v>
      </c>
      <c r="J442" s="1840" t="s">
        <v>3482</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3477</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2543</v>
      </c>
      <c r="J445" s="1840" t="s">
        <v>3473</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4270</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3474</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3491</v>
      </c>
      <c r="H449" s="1812" t="s">
        <v>4271</v>
      </c>
      <c r="I449" s="1839" t="s">
        <v>2543</v>
      </c>
      <c r="J449" s="1840" t="s">
        <v>3475</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3478</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3481</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4270</v>
      </c>
      <c r="J454" s="1840" t="s">
        <v>3476</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3479</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3480</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4270</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4271</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4271</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ME9sAgdgmhEKYEl+HjmCqQWDzjV6hW3yVub/0fNhTvrDxrUAQrrnf5spRRUG5QWVGXF+0PDKxCUAfXNoQ4+Ufw==" saltValue="qWMk7oNt7mOogPVhskeH4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2701</v>
      </c>
      <c r="B1" s="4432"/>
      <c r="C1" s="4432"/>
      <c r="D1" s="4432"/>
      <c r="E1" s="4432"/>
      <c r="F1" s="4432"/>
      <c r="G1" s="4432"/>
      <c r="H1" s="4432"/>
      <c r="I1" s="4432"/>
      <c r="J1" s="4432"/>
    </row>
    <row r="2" spans="1:16" ht="15.75">
      <c r="A2" s="4432" t="str">
        <f>'Sensitivity Analysis'!C8</f>
        <v>Roswell Redevelopment Phase I</v>
      </c>
      <c r="B2" s="4432"/>
      <c r="C2" s="4432"/>
      <c r="D2" s="4432"/>
      <c r="E2" s="4432"/>
      <c r="F2" s="4432"/>
      <c r="G2" s="4432"/>
      <c r="H2" s="4432"/>
      <c r="I2" s="4432"/>
      <c r="J2" s="4432"/>
    </row>
    <row r="3" spans="1:16" ht="15.75">
      <c r="A3" s="4432" t="str">
        <f>'Subsidy Layering Memo'!F14</f>
        <v>Roswell, Fulton</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6401</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Roswell, Fulton County, Georgia, with the development of 95 units set aside for Family.</v>
      </c>
      <c r="B9" s="4437"/>
      <c r="C9" s="4437"/>
      <c r="D9" s="4437"/>
      <c r="E9" s="4437"/>
      <c r="F9" s="4437"/>
      <c r="G9" s="4437"/>
      <c r="H9" s="4437"/>
      <c r="I9" s="4437"/>
      <c r="J9" s="4437"/>
      <c r="K9" s="580"/>
    </row>
    <row r="10" spans="1:16" ht="15.75">
      <c r="A10" s="581"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2705</v>
      </c>
      <c r="B14" s="582"/>
    </row>
    <row r="15" spans="1:16">
      <c r="A15" s="579" t="s">
        <v>2706</v>
      </c>
      <c r="D15" s="1337" t="s">
        <v>2707</v>
      </c>
    </row>
    <row r="16" spans="1:16">
      <c r="A16" s="579" t="s">
        <v>2708</v>
      </c>
      <c r="D16" s="1335">
        <f>'Sensitivity Analysis'!C25</f>
        <v>3000000</v>
      </c>
    </row>
    <row r="17" spans="1:11">
      <c r="A17" s="583" t="s">
        <v>2709</v>
      </c>
      <c r="D17" s="1336">
        <f>'Sensitivity Analysis'!C13</f>
        <v>95</v>
      </c>
    </row>
    <row r="18" spans="1:11" ht="14.25" customHeight="1"/>
    <row r="19" spans="1:11" ht="15.75">
      <c r="A19" s="581" t="s">
        <v>2710</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Hudson Housing Capital LLC will make a capital contribution totaling 9500000 via the syndication of the 2021 Federal LIHTC allocation of 1000000 per annum.Hudson Housing Capital LLC will make a capital contribution totaling 6000000 via the syndication of the 2021 State LIHTC allocation of 1000000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1.55 (0.95 Federal tax credit and 0.6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6402</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Roswell Redevelopment Phase I</v>
      </c>
    </row>
    <row r="13" spans="1:10" ht="15">
      <c r="A13" s="589"/>
      <c r="D13" s="588" t="s">
        <v>2724</v>
      </c>
      <c r="F13" s="1334" t="str">
        <f>'Sensitivity Analysis'!E8</f>
        <v>2021-018</v>
      </c>
    </row>
    <row r="14" spans="1:10" ht="15">
      <c r="A14" s="589"/>
      <c r="D14" s="588" t="s">
        <v>2725</v>
      </c>
      <c r="F14" s="1334" t="str">
        <f>'Sensitivity Analysis'!H8</f>
        <v>Roswell, Fulton</v>
      </c>
    </row>
    <row r="15" spans="1:10" ht="15">
      <c r="A15" s="589"/>
      <c r="D15" s="588" t="s">
        <v>3066</v>
      </c>
      <c r="F15" s="4454">
        <f>'Sensitivity Analysis'!$C$25</f>
        <v>3000000</v>
      </c>
      <c r="G15" s="4454"/>
      <c r="H15" s="4454"/>
    </row>
    <row r="16" spans="1:10" ht="15">
      <c r="A16" s="589"/>
      <c r="D16" s="591" t="s">
        <v>2726</v>
      </c>
      <c r="F16" s="592">
        <f>'Sensitivity Analysis'!C13</f>
        <v>95</v>
      </c>
      <c r="G16" s="593" t="s">
        <v>3067</v>
      </c>
      <c r="H16" s="1038">
        <f>'Sensitivity Analysis'!E13</f>
        <v>95</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6404</v>
      </c>
    </row>
    <row r="22" spans="1:18" ht="111.75" customHeight="1">
      <c r="A22" s="4444" t="s">
        <v>3219</v>
      </c>
      <c r="B22" s="4444"/>
      <c r="C22" s="4444"/>
      <c r="D22" s="4444"/>
      <c r="E22" s="4444"/>
      <c r="F22" s="4444"/>
      <c r="G22" s="4444"/>
      <c r="H22" s="4444"/>
      <c r="I22" s="4444"/>
      <c r="J22" s="4444"/>
      <c r="K22" s="4443" t="s">
        <v>4087</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6403</v>
      </c>
    </row>
    <row r="27" spans="1:18" ht="14.25" customHeight="1">
      <c r="A27" s="4446" t="s">
        <v>6405</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6406</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2727</v>
      </c>
    </row>
    <row r="47" spans="1:10" ht="135" customHeight="1">
      <c r="A47" s="4442" t="s">
        <v>6407</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2728</v>
      </c>
    </row>
    <row r="50" spans="1:12" ht="33" customHeight="1">
      <c r="A50" s="4437" t="s">
        <v>3604</v>
      </c>
      <c r="B50" s="4439"/>
      <c r="C50" s="4439"/>
      <c r="D50" s="4439"/>
      <c r="E50" s="4439"/>
      <c r="F50" s="4439"/>
      <c r="G50" s="4439"/>
      <c r="H50" s="4439"/>
      <c r="I50" s="4439"/>
      <c r="J50" s="4437"/>
    </row>
    <row r="51" spans="1:12" ht="3" customHeight="1"/>
    <row r="52" spans="1:12" ht="72.75" customHeight="1">
      <c r="A52" s="4437" t="s">
        <v>3605</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3606</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3607</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3608</v>
      </c>
      <c r="B60" s="4450"/>
      <c r="C60" s="4450"/>
      <c r="D60" s="4450"/>
      <c r="E60" s="4450"/>
      <c r="F60" s="4450"/>
      <c r="G60" s="4450"/>
      <c r="H60" s="4450"/>
      <c r="I60" s="4450"/>
      <c r="J60" s="4450"/>
    </row>
    <row r="61" spans="1:12" ht="3" customHeight="1"/>
    <row r="62" spans="1:12" ht="73.5" customHeight="1">
      <c r="A62" s="4437" t="s">
        <v>3609</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4" t="s">
        <v>2730</v>
      </c>
      <c r="B65" s="4444"/>
      <c r="C65" s="4444"/>
      <c r="D65" s="4444"/>
      <c r="E65" s="4444"/>
      <c r="F65" s="4444"/>
      <c r="G65" s="4444"/>
      <c r="H65" s="4444"/>
      <c r="I65" s="4444"/>
      <c r="J65" s="4444"/>
      <c r="L65" s="596">
        <f>'Closing term sheet'!C135</f>
        <v>821291.43465524551</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Hudson Housing Capital LLC will make a capital contribution totaling 9500000 via the syndication of the 2021 Federal LIHTC allocation of 1000000 per annum.Hudson Housing Capital LLC will make a capital contribution totaling 6000000 via the syndication of the 2021 State LIHTC allocation of 1000000 per annum.</v>
      </c>
      <c r="B67" s="4450"/>
      <c r="C67" s="4450"/>
      <c r="D67" s="4450"/>
      <c r="E67" s="4450"/>
      <c r="F67" s="4450"/>
      <c r="G67" s="4450"/>
      <c r="H67" s="4450"/>
      <c r="I67" s="4450"/>
      <c r="J67" s="601"/>
      <c r="L67" s="602">
        <f>'Part III-Sources of Funds'!I51</f>
        <v>9500000</v>
      </c>
      <c r="M67" s="603">
        <f>'Part IV-A-Uses of Funds'!$J$197</f>
        <v>1000000</v>
      </c>
      <c r="N67" s="604">
        <f>'Part IV-A-Uses of Funds'!N188</f>
        <v>0.95</v>
      </c>
      <c r="O67" s="602">
        <f>'Part III-Sources of Funds'!I52</f>
        <v>6000000</v>
      </c>
      <c r="P67" s="603">
        <f>M67</f>
        <v>1000000</v>
      </c>
      <c r="Q67" s="604">
        <f>'Part IV-A-Uses of Funds'!Q188</f>
        <v>0.6</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2731</v>
      </c>
    </row>
    <row r="70" spans="1:17" ht="177" customHeight="1">
      <c r="A70" s="4450" t="s">
        <v>6408</v>
      </c>
      <c r="B70" s="4450"/>
      <c r="C70" s="4450"/>
      <c r="D70" s="4450"/>
      <c r="E70" s="4450"/>
      <c r="F70" s="4450"/>
      <c r="G70" s="4450"/>
      <c r="H70" s="4450"/>
      <c r="I70" s="4450"/>
      <c r="J70" s="4450"/>
      <c r="L70" s="606">
        <f>'Part VII-Pro Forma'!K72</f>
        <v>1943366.6359299109</v>
      </c>
      <c r="M70" s="4452" t="s">
        <v>3218</v>
      </c>
      <c r="N70" s="4453"/>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7" t="s">
        <v>2736</v>
      </c>
      <c r="B77" s="4437"/>
      <c r="C77" s="4437"/>
      <c r="D77" s="4437"/>
      <c r="E77" s="4437"/>
      <c r="F77" s="4437"/>
      <c r="G77" s="4437"/>
      <c r="H77" s="4437"/>
      <c r="I77" s="4437"/>
      <c r="J77" s="4437"/>
    </row>
    <row r="78" spans="1:17" ht="6" customHeight="1">
      <c r="A78" s="594"/>
    </row>
    <row r="79" spans="1:17" ht="15">
      <c r="A79" s="594" t="s">
        <v>2737</v>
      </c>
    </row>
    <row r="80" spans="1:17" ht="66" customHeight="1">
      <c r="A80" s="4437" t="s">
        <v>2738</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2739</v>
      </c>
      <c r="B82" s="593"/>
      <c r="C82" s="593"/>
      <c r="D82" s="1334"/>
      <c r="E82" s="593"/>
      <c r="F82" s="593"/>
      <c r="G82" s="593"/>
      <c r="H82" s="593"/>
      <c r="I82" s="593"/>
      <c r="J82" s="607"/>
    </row>
    <row r="83" spans="1:15" s="1330" customFormat="1" ht="63" customHeight="1">
      <c r="A83" s="4437" t="s">
        <v>3811</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2740</v>
      </c>
      <c r="B85" s="4449"/>
      <c r="C85" s="4449"/>
      <c r="D85" s="593"/>
      <c r="E85" s="593"/>
      <c r="F85" s="593"/>
      <c r="G85" s="593"/>
      <c r="H85" s="593"/>
      <c r="I85" s="593"/>
      <c r="J85" s="607"/>
    </row>
    <row r="86" spans="1:15" ht="41.25" customHeight="1">
      <c r="A86" s="4450" t="s">
        <v>6409</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2741</v>
      </c>
    </row>
    <row r="89" spans="1:15" ht="124.15" customHeight="1">
      <c r="A89" s="4450" t="s">
        <v>2742</v>
      </c>
      <c r="B89" s="4450"/>
      <c r="C89" s="4450"/>
      <c r="D89" s="4450"/>
      <c r="E89" s="4450"/>
      <c r="F89" s="4450"/>
      <c r="G89" s="4450"/>
      <c r="H89" s="4450"/>
      <c r="I89" s="4450"/>
      <c r="J89" s="4450"/>
      <c r="L89" s="4443" t="s">
        <v>2743</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43" t="s">
        <v>2746</v>
      </c>
      <c r="M92" s="4443"/>
      <c r="N92" s="609" t="e">
        <f>'After-Tax Analysis'!G66</f>
        <v>#VALUE!</v>
      </c>
      <c r="O92" s="610" t="s">
        <v>2747</v>
      </c>
    </row>
    <row r="93" spans="1:15" ht="6" customHeight="1">
      <c r="A93" s="594"/>
    </row>
    <row r="94" spans="1:15" ht="15">
      <c r="A94" s="594"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28"/>
      <c r="F96" s="1328"/>
      <c r="G96" s="1328"/>
      <c r="H96" s="1328"/>
      <c r="I96" s="1328"/>
      <c r="J96" s="1328"/>
    </row>
    <row r="97" spans="1:14" ht="109.5" customHeight="1">
      <c r="A97" s="4457" t="s">
        <v>2751</v>
      </c>
      <c r="B97" s="4458"/>
      <c r="C97" s="4458"/>
      <c r="D97" s="4458"/>
      <c r="E97" s="4458"/>
      <c r="F97" s="4458"/>
      <c r="G97" s="4458"/>
      <c r="H97" s="4458"/>
      <c r="I97" s="4458"/>
      <c r="J97" s="4458"/>
    </row>
    <row r="98" spans="1:14" ht="11.25" customHeight="1">
      <c r="A98" s="594"/>
    </row>
    <row r="99" spans="1:14" ht="15">
      <c r="A99" s="594" t="s">
        <v>2752</v>
      </c>
    </row>
    <row r="100" spans="1:14" ht="110.45" customHeight="1">
      <c r="A100" s="4444" t="s">
        <v>2753</v>
      </c>
      <c r="B100" s="4444"/>
      <c r="C100" s="4444"/>
      <c r="D100" s="4444"/>
      <c r="E100" s="4444"/>
      <c r="F100" s="4444"/>
      <c r="G100" s="4444"/>
      <c r="H100" s="4444"/>
      <c r="I100" s="4444"/>
      <c r="J100" s="4444"/>
      <c r="L100" s="1041">
        <f>'Part VII-Pro Forma'!K72</f>
        <v>1943366.6359299109</v>
      </c>
      <c r="M100" s="4447" t="s">
        <v>2754</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2755</v>
      </c>
      <c r="B104" s="4439"/>
      <c r="C104" s="4439"/>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7" t="s">
        <v>2758</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5" t="s">
        <v>6273</v>
      </c>
      <c r="B120" s="4455"/>
      <c r="C120" s="4455"/>
      <c r="D120" s="4455"/>
      <c r="E120" s="4456"/>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2021-018  Roswell Redevelopment Phase 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2767</v>
      </c>
      <c r="B8" s="582"/>
      <c r="C8" s="4461" t="str">
        <f>'Part I-Project Information'!F35</f>
        <v>Roswell Redevelopment Phase I</v>
      </c>
      <c r="D8" s="4461"/>
      <c r="E8" s="1089" t="str">
        <f>'Part I-Project Information'!O7</f>
        <v>2021-018</v>
      </c>
      <c r="F8" s="618" t="s">
        <v>2768</v>
      </c>
      <c r="G8" s="617"/>
      <c r="H8" s="4461" t="str">
        <f>CONCATENATE('Part I-Project Information'!F39,", ",'Part I-Project Information'!J40)</f>
        <v>Roswell, Fulton</v>
      </c>
      <c r="I8" s="4461"/>
      <c r="J8" s="4461"/>
      <c r="K8" s="4461"/>
      <c r="L8" s="579"/>
      <c r="M8" s="619"/>
    </row>
    <row r="9" spans="1:14" ht="15.75">
      <c r="A9" s="582" t="s">
        <v>2770</v>
      </c>
      <c r="B9" s="582"/>
      <c r="C9" s="4461" t="s">
        <v>1691</v>
      </c>
      <c r="D9" s="4461"/>
      <c r="E9" s="617"/>
      <c r="F9" s="618" t="s">
        <v>2771</v>
      </c>
      <c r="G9" s="617"/>
      <c r="H9" s="4461" t="str">
        <f>'Part II-Development Team'!H6</f>
        <v>Oak Street I LLC</v>
      </c>
      <c r="I9" s="4461"/>
      <c r="J9" s="4461"/>
      <c r="K9" s="4461"/>
      <c r="L9" s="4461"/>
      <c r="M9" s="619"/>
    </row>
    <row r="10" spans="1:14" ht="15.75">
      <c r="A10" s="582" t="s">
        <v>2773</v>
      </c>
      <c r="B10" s="579"/>
      <c r="C10" s="1089" t="str">
        <f>'Part II-Development Team'!H15</f>
        <v>Pennrose Holdings LLC</v>
      </c>
      <c r="D10" s="617"/>
      <c r="E10" s="617"/>
      <c r="F10" s="618" t="s">
        <v>3252</v>
      </c>
      <c r="G10" s="617"/>
      <c r="H10" s="4461" t="str">
        <f>'Part II-Development Team'!H34</f>
        <v>Hudson Housing Capital LLC</v>
      </c>
      <c r="I10" s="4461"/>
      <c r="J10" s="4461"/>
      <c r="K10" s="4461" t="str">
        <f>'Part II-Development Team'!H40</f>
        <v>Hudson Housing Capital LLC</v>
      </c>
      <c r="L10" s="4461"/>
    </row>
    <row r="11" spans="1:14" ht="15.75">
      <c r="A11" s="582" t="s">
        <v>2774</v>
      </c>
      <c r="B11" s="579"/>
      <c r="C11" s="1089" t="str">
        <f>IF('Part II-Development Team'!H21="","",'Part II-Development Team'!H21)</f>
        <v>Housing Authority of the City of Roswell</v>
      </c>
      <c r="D11" s="617"/>
      <c r="E11" s="1035" t="str">
        <f>IF('Part II-Development Team'!H27="","",'Part II-Development Team'!H27)</f>
        <v/>
      </c>
      <c r="F11" s="618" t="s">
        <v>622</v>
      </c>
      <c r="G11" s="617"/>
      <c r="H11" s="4461" t="str">
        <f>'Part II-Development Team'!H55</f>
        <v>Pennrose LLC</v>
      </c>
      <c r="I11" s="4461"/>
      <c r="J11" s="4461"/>
      <c r="K11" s="4461" t="str">
        <f>'Part II-Development Team'!H61</f>
        <v>Housing Authority of the City of Roswell</v>
      </c>
      <c r="L11" s="4461"/>
      <c r="M11" s="4461">
        <f>'Part II-Development Team'!H67</f>
        <v>0</v>
      </c>
      <c r="N11" s="4461"/>
    </row>
    <row r="12" spans="1:14" ht="15.75">
      <c r="A12" s="582" t="s">
        <v>2775</v>
      </c>
      <c r="B12" s="579"/>
      <c r="C12" s="1089" t="str">
        <f>'Part II-Development Team'!H87</f>
        <v>Capstone Building Corp.</v>
      </c>
      <c r="D12" s="617"/>
      <c r="E12" s="617"/>
      <c r="F12" s="618" t="s">
        <v>2776</v>
      </c>
      <c r="G12" s="617"/>
      <c r="H12" s="4461" t="str">
        <f>'Part II-Development Team'!H93</f>
        <v>Pennrose Management Company</v>
      </c>
      <c r="I12" s="4461"/>
      <c r="J12" s="4461"/>
      <c r="K12" s="4461"/>
      <c r="L12" s="579"/>
      <c r="M12" s="579"/>
    </row>
    <row r="13" spans="1:14" ht="15.75">
      <c r="A13" s="582" t="s">
        <v>2777</v>
      </c>
      <c r="B13" s="618"/>
      <c r="C13" s="578">
        <f>'Part VI-Revenues &amp; Expenses'!$P$67</f>
        <v>95</v>
      </c>
      <c r="E13" s="1036">
        <f>'Part VI-Revenues &amp; Expenses'!$P$63</f>
        <v>95</v>
      </c>
      <c r="F13" s="618" t="s">
        <v>3603</v>
      </c>
      <c r="G13" s="617"/>
      <c r="H13" s="1090">
        <f>'Part I-Project Information'!H71</f>
        <v>3</v>
      </c>
      <c r="I13" s="1037"/>
      <c r="J13" s="1037"/>
      <c r="K13" s="1090">
        <f>'Part I-Project Information'!P70</f>
        <v>78150</v>
      </c>
      <c r="L13" s="579"/>
      <c r="M13" s="579"/>
    </row>
    <row r="14" spans="1:14" ht="15.75">
      <c r="A14" s="582" t="s">
        <v>3069</v>
      </c>
      <c r="B14" s="579"/>
      <c r="C14" s="1090" t="str">
        <f>'Part I-Project Information'!H77</f>
        <v>Family</v>
      </c>
      <c r="D14" s="4461" t="str">
        <f>IF('Part I-Project Information'!N69=0,"",'Part I-Project Information'!N69)</f>
        <v/>
      </c>
      <c r="E14" s="4461"/>
      <c r="F14" s="618" t="s">
        <v>2778</v>
      </c>
      <c r="G14" s="617"/>
      <c r="H14" s="4462" t="s">
        <v>3220</v>
      </c>
      <c r="I14" s="4462"/>
      <c r="J14" s="4462"/>
      <c r="K14" s="4462" t="s">
        <v>3220</v>
      </c>
      <c r="L14" s="4462"/>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18857416.83068594</v>
      </c>
      <c r="D18" s="1071">
        <f>IF(C18=0,"",$C$29/C18)</f>
        <v>0.15908859770857994</v>
      </c>
      <c r="E18" s="617" t="s">
        <v>3073</v>
      </c>
      <c r="F18" s="618" t="s">
        <v>3074</v>
      </c>
      <c r="G18" s="617"/>
      <c r="H18" s="4463">
        <f>'Part IV-A-Uses of Funds'!C49</f>
        <v>12488130</v>
      </c>
      <c r="I18" s="4463"/>
      <c r="J18" s="1070">
        <f>IF(H18=0,"",$C$29/H18)</f>
        <v>0.24022812062334392</v>
      </c>
      <c r="K18" s="4461" t="s">
        <v>3075</v>
      </c>
      <c r="L18" s="4461"/>
      <c r="M18" s="579"/>
    </row>
    <row r="19" spans="1:13" ht="15.75">
      <c r="A19" s="582" t="s">
        <v>2780</v>
      </c>
      <c r="B19" s="579"/>
      <c r="C19" s="1091">
        <f>C18/C13</f>
        <v>198499.1245335362</v>
      </c>
      <c r="D19" s="617"/>
      <c r="E19" s="579"/>
      <c r="F19" s="582" t="s">
        <v>2780</v>
      </c>
      <c r="G19" s="579"/>
      <c r="H19" s="4464">
        <f>H18/C13</f>
        <v>131454</v>
      </c>
      <c r="I19" s="4464"/>
      <c r="J19" s="579"/>
      <c r="K19" s="579"/>
      <c r="L19" s="579"/>
      <c r="M19" s="579"/>
    </row>
    <row r="20" spans="1:13" ht="15.75">
      <c r="A20" s="582" t="s">
        <v>2781</v>
      </c>
      <c r="B20" s="579"/>
      <c r="C20" s="1093">
        <f>C18/K13</f>
        <v>241.29772016232809</v>
      </c>
      <c r="D20" s="622"/>
      <c r="E20" s="623"/>
      <c r="F20" s="582" t="s">
        <v>2781</v>
      </c>
      <c r="G20" s="579"/>
      <c r="H20" s="4465">
        <f>H18/K13</f>
        <v>159.79692898272552</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 xml:space="preserve">Grandbridge Real Estate Capital </v>
      </c>
      <c r="C25" s="629">
        <f>'Part III-Sources of Funds'!I40</f>
        <v>3000000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3000000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15500000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3000000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0.15908859770857994</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0.24022812062334392</v>
      </c>
      <c r="D40" s="579"/>
      <c r="E40" s="579"/>
      <c r="F40" s="582"/>
      <c r="G40" s="582" t="s">
        <v>2801</v>
      </c>
      <c r="H40" s="579"/>
      <c r="I40" s="579"/>
      <c r="K40" s="631">
        <f>C30/C18</f>
        <v>0.82195775482766298</v>
      </c>
      <c r="L40" s="579"/>
      <c r="M40" s="579"/>
    </row>
    <row r="46" spans="1:13" ht="15.75">
      <c r="A46" s="642" t="s">
        <v>2802</v>
      </c>
      <c r="B46" s="612"/>
      <c r="C46" s="612"/>
      <c r="D46" s="612"/>
      <c r="E46" s="612"/>
      <c r="F46" s="612"/>
      <c r="G46" s="612"/>
      <c r="H46" s="612"/>
      <c r="I46" s="612"/>
      <c r="J46" s="612"/>
      <c r="K46" s="612"/>
      <c r="L46" s="612"/>
      <c r="M46" s="579"/>
    </row>
    <row r="47" spans="1:13" ht="15.75">
      <c r="A47" s="642" t="str">
        <f>C8</f>
        <v>Roswell Redevelopment Phase I</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793666.32000000007</v>
      </c>
      <c r="D52" s="648"/>
      <c r="E52" s="648">
        <f>$C$52</f>
        <v>793666.32000000007</v>
      </c>
      <c r="F52" s="648"/>
      <c r="G52" s="648">
        <f>$C$52</f>
        <v>793666.32000000007</v>
      </c>
      <c r="H52" s="648"/>
      <c r="I52" s="648">
        <f>$C$52</f>
        <v>793666.32000000007</v>
      </c>
      <c r="J52" s="648"/>
      <c r="K52" s="648">
        <f>$C$52</f>
        <v>793666.32000000007</v>
      </c>
      <c r="L52" s="649"/>
      <c r="M52" s="27"/>
      <c r="N52" s="27"/>
    </row>
    <row r="53" spans="1:14" s="579" customFormat="1" ht="18.75" customHeight="1">
      <c r="B53" s="647" t="s">
        <v>2809</v>
      </c>
      <c r="C53" s="648">
        <f>'Part VII-Pro Forma'!B16</f>
        <v>15873.326400000002</v>
      </c>
      <c r="D53" s="648"/>
      <c r="E53" s="648">
        <f>$C$53</f>
        <v>15873.326400000002</v>
      </c>
      <c r="F53" s="648"/>
      <c r="G53" s="648">
        <f>$C$53</f>
        <v>15873.326400000002</v>
      </c>
      <c r="H53" s="648"/>
      <c r="I53" s="648">
        <f>$C$53</f>
        <v>15873.326400000002</v>
      </c>
      <c r="J53" s="648"/>
      <c r="K53" s="648">
        <f>$C$53</f>
        <v>15873.326400000002</v>
      </c>
      <c r="L53" s="649"/>
      <c r="M53" s="27"/>
      <c r="N53" s="27"/>
    </row>
    <row r="54" spans="1:14" s="579" customFormat="1" ht="18.75" customHeight="1">
      <c r="B54" s="647" t="s">
        <v>2807</v>
      </c>
      <c r="C54" s="648">
        <f>'Part VII-Pro Forma'!B17</f>
        <v>-56667.775248000013</v>
      </c>
      <c r="D54" s="648"/>
      <c r="E54" s="648">
        <f>-($C$52+E53)*F50</f>
        <v>-80953.96464000002</v>
      </c>
      <c r="F54" s="650"/>
      <c r="G54" s="648">
        <f>-($C$52+G53)*0.07</f>
        <v>-56667.775248000013</v>
      </c>
      <c r="H54" s="648"/>
      <c r="I54" s="648">
        <f>-($C$52+I53)*0.07</f>
        <v>-56667.775248000013</v>
      </c>
      <c r="J54" s="648"/>
      <c r="K54" s="648">
        <f>-($C$52+K53)*L54</f>
        <v>-80953.96464000002</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752871.87115200004</v>
      </c>
      <c r="D56" s="648"/>
      <c r="E56" s="654">
        <f>SUM(E52:E55)</f>
        <v>728585.68176000006</v>
      </c>
      <c r="F56" s="648"/>
      <c r="G56" s="654">
        <f>SUM(G52:G55)</f>
        <v>752871.87115200004</v>
      </c>
      <c r="H56" s="648"/>
      <c r="I56" s="654">
        <f>SUM(I52:I55)</f>
        <v>752871.87115200004</v>
      </c>
      <c r="J56" s="648"/>
      <c r="K56" s="654">
        <f>SUM(K52:K55)</f>
        <v>728585.68176000006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188509</v>
      </c>
      <c r="D58" s="648"/>
      <c r="E58" s="648">
        <f>$C$58</f>
        <v>188509</v>
      </c>
      <c r="F58" s="648"/>
      <c r="G58" s="648">
        <f>$C$58</f>
        <v>188509</v>
      </c>
      <c r="H58" s="648"/>
      <c r="I58" s="648">
        <f>$C$58</f>
        <v>188509</v>
      </c>
      <c r="J58" s="648"/>
      <c r="K58" s="648">
        <f>$C$58</f>
        <v>188509</v>
      </c>
      <c r="L58" s="649"/>
      <c r="M58" s="27"/>
      <c r="N58" s="27"/>
    </row>
    <row r="59" spans="1:14" s="579" customFormat="1" ht="18.75" customHeight="1">
      <c r="B59" s="647" t="s">
        <v>2812</v>
      </c>
      <c r="C59" s="648">
        <f>+'Part VI-Revenues &amp; Expenses'!F244</f>
        <v>58309</v>
      </c>
      <c r="D59" s="648"/>
      <c r="E59" s="648">
        <f>$C$59</f>
        <v>58309</v>
      </c>
      <c r="F59" s="648"/>
      <c r="G59" s="648">
        <f>$C$59</f>
        <v>58309</v>
      </c>
      <c r="H59" s="648"/>
      <c r="I59" s="648">
        <f>$C$59</f>
        <v>58309</v>
      </c>
      <c r="J59" s="648"/>
      <c r="K59" s="648">
        <f>$C$59*(1+$L$59)</f>
        <v>60641.36</v>
      </c>
      <c r="L59" s="656">
        <v>0.04</v>
      </c>
      <c r="M59" s="27"/>
      <c r="N59" s="27"/>
    </row>
    <row r="60" spans="1:14" s="579" customFormat="1" ht="18.75" customHeight="1">
      <c r="B60" s="647" t="s">
        <v>1326</v>
      </c>
      <c r="C60" s="648">
        <f>+'Part VI-Revenues &amp; Expenses'!L237</f>
        <v>112300</v>
      </c>
      <c r="D60" s="648"/>
      <c r="E60" s="648">
        <f>$C$60</f>
        <v>112300</v>
      </c>
      <c r="F60" s="648"/>
      <c r="G60" s="648">
        <f>$C$60</f>
        <v>112300</v>
      </c>
      <c r="H60" s="648"/>
      <c r="I60" s="648">
        <f>$C$60*(1+$J$50)</f>
        <v>115669</v>
      </c>
      <c r="J60" s="650"/>
      <c r="K60" s="648">
        <f>$C$60*(1+$J$50)</f>
        <v>115669</v>
      </c>
      <c r="L60" s="651">
        <v>0.03</v>
      </c>
      <c r="M60" s="27"/>
      <c r="N60" s="27"/>
    </row>
    <row r="61" spans="1:14" s="579" customFormat="1" ht="18.75" customHeight="1">
      <c r="B61" s="647" t="s">
        <v>1327</v>
      </c>
      <c r="C61" s="648">
        <f>+'Part VI-Revenues &amp; Expenses'!L244</f>
        <v>65000</v>
      </c>
      <c r="D61" s="648"/>
      <c r="E61" s="648">
        <f>$C$61</f>
        <v>65000</v>
      </c>
      <c r="F61" s="648"/>
      <c r="G61" s="648">
        <f>$C$61*(1+H50)</f>
        <v>68250</v>
      </c>
      <c r="H61" s="650"/>
      <c r="I61" s="648">
        <f>$C$61</f>
        <v>65000</v>
      </c>
      <c r="J61" s="648"/>
      <c r="K61" s="648">
        <f>$C$61*(1+$L$61)</f>
        <v>68250</v>
      </c>
      <c r="L61" s="651">
        <v>0.05</v>
      </c>
      <c r="M61" s="27"/>
      <c r="N61" s="27"/>
    </row>
    <row r="62" spans="1:14" s="579" customFormat="1" ht="18.75" customHeight="1">
      <c r="B62" s="653" t="s">
        <v>2813</v>
      </c>
      <c r="C62" s="654">
        <f>SUM(C58:C61)</f>
        <v>424118</v>
      </c>
      <c r="D62" s="648"/>
      <c r="E62" s="654">
        <f>SUM(E58:E61)</f>
        <v>424118</v>
      </c>
      <c r="F62" s="648"/>
      <c r="G62" s="654">
        <f>SUM(G58:G61)</f>
        <v>427368</v>
      </c>
      <c r="H62" s="648"/>
      <c r="I62" s="654">
        <f>SUM(I58:I61)</f>
        <v>427487</v>
      </c>
      <c r="J62" s="648"/>
      <c r="K62" s="654">
        <f>SUM(K58:K61)</f>
        <v>433069.36</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328753.87115200004</v>
      </c>
      <c r="D64" s="660"/>
      <c r="E64" s="660">
        <f>E56-E62</f>
        <v>304467.68176000006</v>
      </c>
      <c r="F64" s="660"/>
      <c r="G64" s="660">
        <f>G56-G62</f>
        <v>325503.87115200004</v>
      </c>
      <c r="H64" s="660"/>
      <c r="I64" s="660">
        <f>I56-I62</f>
        <v>325384.87115200004</v>
      </c>
      <c r="J64" s="660"/>
      <c r="K64" s="660">
        <f>K56-K62</f>
        <v>295516.32176000008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23750</v>
      </c>
      <c r="D66" s="655"/>
      <c r="E66" s="655">
        <f>$C$66</f>
        <v>23750</v>
      </c>
      <c r="F66" s="655"/>
      <c r="G66" s="655">
        <f>$C$66</f>
        <v>23750</v>
      </c>
      <c r="H66" s="655"/>
      <c r="I66" s="655">
        <f>$C$66</f>
        <v>23750</v>
      </c>
      <c r="J66" s="655"/>
      <c r="K66" s="655">
        <f>$C$66</f>
        <v>23750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52701</v>
      </c>
      <c r="D68" s="655"/>
      <c r="E68" s="655">
        <f>$C$68</f>
        <v>52701</v>
      </c>
      <c r="F68" s="655"/>
      <c r="G68" s="655">
        <f>$C$68</f>
        <v>52701</v>
      </c>
      <c r="H68" s="655"/>
      <c r="I68" s="655">
        <f>$C$68</f>
        <v>52701</v>
      </c>
      <c r="J68" s="655"/>
      <c r="K68" s="655">
        <f>$C$68</f>
        <v>52701</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252302.87115200004</v>
      </c>
      <c r="D70" s="664"/>
      <c r="E70" s="663">
        <f>E64-E66-E68</f>
        <v>228016.68176000006</v>
      </c>
      <c r="F70" s="664"/>
      <c r="G70" s="663">
        <f>G64-G66-G68</f>
        <v>249052.87115200004</v>
      </c>
      <c r="H70" s="664"/>
      <c r="I70" s="663">
        <f>I64-I66-I68</f>
        <v>248933.87115200004</v>
      </c>
      <c r="J70" s="664"/>
      <c r="K70" s="663">
        <f>K64-K66-K68</f>
        <v>219065.32176000008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1.3458486234745308</v>
      </c>
      <c r="D72" s="666"/>
      <c r="E72" s="1072">
        <f>-E70/E75</f>
        <v>1.2162998220145051</v>
      </c>
      <c r="F72" s="666"/>
      <c r="G72" s="1072">
        <f>-G70/G75</f>
        <v>1.3285122847863473</v>
      </c>
      <c r="H72" s="666"/>
      <c r="I72" s="1072">
        <f>-I70/I75</f>
        <v>1.3278775080774567</v>
      </c>
      <c r="J72" s="666"/>
      <c r="K72" s="1072">
        <f>-K70/K75</f>
        <v>1.1685509578053177</v>
      </c>
      <c r="L72" s="667"/>
      <c r="M72" s="243"/>
      <c r="N72" s="243"/>
    </row>
    <row r="73" spans="1:14" s="579" customFormat="1" ht="18.75" customHeight="1">
      <c r="A73" s="27"/>
      <c r="B73" s="647" t="s">
        <v>2819</v>
      </c>
      <c r="C73" s="1073">
        <f>C76/C62</f>
        <v>0.15287107683326209</v>
      </c>
      <c r="D73" s="668"/>
      <c r="E73" s="1073">
        <f>E76/E62</f>
        <v>9.5608264615907559E-2</v>
      </c>
      <c r="F73" s="668"/>
      <c r="G73" s="1073">
        <f>G76/G62</f>
        <v>0.14410385280219729</v>
      </c>
      <c r="H73" s="668"/>
      <c r="I73" s="1073">
        <f>I76/I62</f>
        <v>0.14378536742490286</v>
      </c>
      <c r="J73" s="668"/>
      <c r="K73" s="1073">
        <f>K76/K62</f>
        <v>7.2962506450166539E-2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-187467.49578763059</v>
      </c>
      <c r="D75" s="648"/>
      <c r="E75" s="648">
        <f>$C$75</f>
        <v>-187467.49578763059</v>
      </c>
      <c r="F75" s="648"/>
      <c r="G75" s="648">
        <f>$C$75</f>
        <v>-187467.49578763059</v>
      </c>
      <c r="H75" s="648"/>
      <c r="I75" s="648">
        <f>$C$75</f>
        <v>-187467.49578763059</v>
      </c>
      <c r="J75" s="648"/>
      <c r="K75" s="648">
        <f>$C$75</f>
        <v>-187467.49578763059</v>
      </c>
      <c r="L75" s="33"/>
      <c r="M75" s="27"/>
      <c r="N75" s="27"/>
    </row>
    <row r="76" spans="1:14" s="579" customFormat="1" ht="18.75" customHeight="1">
      <c r="A76" s="27"/>
      <c r="B76" s="647" t="s">
        <v>1122</v>
      </c>
      <c r="C76" s="648">
        <f>C70+C75</f>
        <v>64835.375364369451</v>
      </c>
      <c r="D76" s="648"/>
      <c r="E76" s="648">
        <f>E70+E75</f>
        <v>40549.18597236948</v>
      </c>
      <c r="F76" s="648"/>
      <c r="G76" s="648">
        <f>G70+G75</f>
        <v>61585.375364369451</v>
      </c>
      <c r="H76" s="648"/>
      <c r="I76" s="648">
        <f>I70+I75</f>
        <v>61466.375364369451</v>
      </c>
      <c r="J76" s="648"/>
      <c r="K76" s="648">
        <f>K70+K75</f>
        <v>31597.825972369494</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3567</v>
      </c>
    </row>
    <row r="3" spans="1:7" ht="3" customHeight="1"/>
    <row r="4" spans="1:7">
      <c r="A4" s="1020" t="s">
        <v>3568</v>
      </c>
      <c r="B4" s="1021">
        <f>+'Part IV-A-Uses of Funds'!$G$146</f>
        <v>18857416.83068594</v>
      </c>
    </row>
    <row r="5" spans="1:7">
      <c r="A5" s="1020" t="s">
        <v>3599</v>
      </c>
      <c r="B5" s="1021">
        <f>+B18+B26+B38</f>
        <v>2489985.2909462862</v>
      </c>
    </row>
    <row r="6" spans="1:7">
      <c r="A6" s="1020" t="s">
        <v>3569</v>
      </c>
      <c r="B6" s="1022">
        <f>+B5-B4</f>
        <v>-16367431.539739653</v>
      </c>
    </row>
    <row r="7" spans="1:7">
      <c r="A7" s="1020" t="s">
        <v>3570</v>
      </c>
      <c r="B7" s="1023">
        <f>+B6/B4</f>
        <v>-0.86795724391612161</v>
      </c>
    </row>
    <row r="8" spans="1:7" ht="9" customHeight="1"/>
    <row r="9" spans="1:7">
      <c r="A9" s="1020" t="s">
        <v>3571</v>
      </c>
      <c r="B9" s="1021">
        <f>+B18+B26+B33</f>
        <v>2489985.2909462862</v>
      </c>
    </row>
    <row r="10" spans="1:7">
      <c r="A10" s="1020" t="s">
        <v>3569</v>
      </c>
      <c r="B10" s="1022">
        <f>+B9-B4</f>
        <v>-16367431.539739653</v>
      </c>
    </row>
    <row r="11" spans="1:7">
      <c r="A11" s="1020" t="s">
        <v>3570</v>
      </c>
      <c r="B11" s="1023">
        <f>+B10/B4</f>
        <v>-0.86795724391612161</v>
      </c>
    </row>
    <row r="12" spans="1:7" ht="24" customHeight="1"/>
    <row r="13" spans="1:7">
      <c r="A13" s="1019" t="s">
        <v>3572</v>
      </c>
      <c r="D13" s="1078" t="s">
        <v>3816</v>
      </c>
      <c r="E13" s="1079"/>
    </row>
    <row r="14" spans="1:7">
      <c r="A14" s="1020" t="s">
        <v>3573</v>
      </c>
      <c r="B14" s="1024">
        <f>+SUM('Part III-Sources of Funds'!L51:M52)</f>
        <v>15500000</v>
      </c>
      <c r="D14" s="1079"/>
      <c r="E14" s="1079"/>
    </row>
    <row r="15" spans="1:7">
      <c r="A15" s="1020" t="s">
        <v>3574</v>
      </c>
      <c r="B15" s="1025">
        <f>+'Part IV-A-Uses of Funds'!J186</f>
        <v>1585741.683068594</v>
      </c>
      <c r="D15" s="1079" t="s">
        <v>1953</v>
      </c>
      <c r="G15" s="1080">
        <f>'Part IV-A-Uses of Funds'!J168</f>
        <v>16463128.724996436</v>
      </c>
    </row>
    <row r="16" spans="1:7" ht="12.75" customHeight="1">
      <c r="D16" s="1079" t="s">
        <v>3817</v>
      </c>
      <c r="G16" s="1084">
        <v>3.2800000000000003E-2</v>
      </c>
    </row>
    <row r="17" spans="1:7" ht="12.75" customHeight="1">
      <c r="A17" s="1020" t="s">
        <v>3575</v>
      </c>
      <c r="B17" s="1083">
        <v>1.45</v>
      </c>
      <c r="D17" s="1079" t="s">
        <v>3818</v>
      </c>
      <c r="G17" s="1085">
        <v>1.45</v>
      </c>
    </row>
    <row r="18" spans="1:7" ht="12.75" customHeight="1">
      <c r="A18" s="1020" t="s">
        <v>3576</v>
      </c>
      <c r="B18" s="1026">
        <f>+'Part IV-A-Uses of Funds'!J196*B17*10</f>
        <v>0</v>
      </c>
      <c r="D18" s="1079" t="s">
        <v>3819</v>
      </c>
      <c r="G18" s="1085">
        <v>3.28</v>
      </c>
    </row>
    <row r="19" spans="1:7" ht="12.75" customHeight="1">
      <c r="D19" s="1079" t="s">
        <v>3820</v>
      </c>
      <c r="G19" s="1081">
        <f>+G15*G16*G17*10</f>
        <v>7829864.0216083061</v>
      </c>
    </row>
    <row r="20" spans="1:7">
      <c r="A20" s="1020" t="s">
        <v>3577</v>
      </c>
      <c r="B20" s="1024">
        <f>+B18-B14</f>
        <v>-15500000</v>
      </c>
      <c r="D20" s="1079" t="s">
        <v>3821</v>
      </c>
      <c r="G20" s="1082">
        <f>+B14-G19</f>
        <v>7670135.9783916939</v>
      </c>
    </row>
    <row r="21" spans="1:7">
      <c r="A21" s="1020" t="s">
        <v>3578</v>
      </c>
      <c r="B21" s="1023">
        <f>+B20/B14</f>
        <v>-1</v>
      </c>
      <c r="D21" s="1079" t="s">
        <v>3822</v>
      </c>
      <c r="G21" s="1079" t="str">
        <f>+IF(G20&gt;(B28+B35),"No","Yes")</f>
        <v>No</v>
      </c>
    </row>
    <row r="22" spans="1:7" ht="24" customHeight="1"/>
    <row r="23" spans="1:7">
      <c r="A23" s="1019" t="s">
        <v>3579</v>
      </c>
    </row>
    <row r="24" spans="1:7">
      <c r="A24" s="1020" t="s">
        <v>3580</v>
      </c>
      <c r="B24" s="1027">
        <f>+SUM('Part III-Sources of Funds'!I40:J43)</f>
        <v>3000000</v>
      </c>
    </row>
    <row r="25" spans="1:7">
      <c r="A25" s="1020" t="s">
        <v>3581</v>
      </c>
      <c r="B25" s="1028">
        <f>IF('Part III-Sources of Funds'!E6="Yes","N/A",MAX(B46:P46))</f>
        <v>-22784.896839036111</v>
      </c>
    </row>
    <row r="26" spans="1:7">
      <c r="A26" s="1020" t="s">
        <v>3582</v>
      </c>
      <c r="B26" s="1018">
        <f>IFERROR(PV('Part III-Sources of Funds'!K40,'Part III-Sources of Funds'!L40,B25+B45),B24)</f>
        <v>2489985.2909462862</v>
      </c>
    </row>
    <row r="27" spans="1:7" ht="9" customHeight="1">
      <c r="B27" s="1018"/>
    </row>
    <row r="28" spans="1:7">
      <c r="A28" s="1020" t="s">
        <v>3583</v>
      </c>
      <c r="B28" s="1029">
        <f>+B26-B24</f>
        <v>-510014.70905371383</v>
      </c>
      <c r="C28" s="1030"/>
    </row>
    <row r="29" spans="1:7">
      <c r="A29" s="1020" t="s">
        <v>3578</v>
      </c>
      <c r="B29" s="1031">
        <f>+B28/B24</f>
        <v>-0.17000490301790461</v>
      </c>
    </row>
    <row r="30" spans="1:7" ht="24" customHeight="1"/>
    <row r="31" spans="1:7">
      <c r="A31" s="1019" t="s">
        <v>3508</v>
      </c>
    </row>
    <row r="32" spans="1:7">
      <c r="A32" s="1020" t="s">
        <v>3584</v>
      </c>
      <c r="B32" s="1032">
        <f>+'Part III-Sources of Funds'!I45</f>
        <v>357417.13068950898</v>
      </c>
    </row>
    <row r="33" spans="1:11">
      <c r="A33" s="1020" t="s">
        <v>3585</v>
      </c>
      <c r="B33" s="1018"/>
    </row>
    <row r="34" spans="1:11" ht="9" customHeight="1">
      <c r="B34" s="1018"/>
    </row>
    <row r="35" spans="1:11">
      <c r="A35" s="1020" t="s">
        <v>3586</v>
      </c>
      <c r="B35" s="1032">
        <f>+B33-B32</f>
        <v>-357417.13068950898</v>
      </c>
    </row>
    <row r="36" spans="1:11">
      <c r="A36" s="1020" t="s">
        <v>3587</v>
      </c>
      <c r="B36" s="1017">
        <f>+B35/B32</f>
        <v>-1</v>
      </c>
    </row>
    <row r="37" spans="1:11" ht="24" customHeight="1">
      <c r="B37" s="1018"/>
    </row>
    <row r="38" spans="1:11">
      <c r="A38" s="1019" t="s">
        <v>3588</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3589</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252302.87115200004</v>
      </c>
      <c r="C44" s="1021">
        <f>+'Part VII-Pro Forma'!C25</f>
        <v>252870.26857504004</v>
      </c>
      <c r="D44" s="1021">
        <f>+'Part VII-Pro Forma'!D25</f>
        <v>253314.73354654084</v>
      </c>
      <c r="E44" s="1021">
        <f>+'Part VII-Pro Forma'!E25</f>
        <v>253629.1966054716</v>
      </c>
      <c r="F44" s="1021">
        <f>+'Part VII-Pro Forma'!F25</f>
        <v>253808.34597722112</v>
      </c>
      <c r="G44" s="1021">
        <f>+'Part VII-Pro Forma'!G25</f>
        <v>253843.6190995948</v>
      </c>
      <c r="H44" s="1021">
        <f>+'Part VII-Pro Forma'!H25</f>
        <v>253728.19387050084</v>
      </c>
      <c r="I44" s="1021">
        <f>+'Part VII-Pro Forma'!I25</f>
        <v>253454.97960849202</v>
      </c>
      <c r="J44" s="1021">
        <f>+'Part VII-Pro Forma'!J25</f>
        <v>253015.60771706098</v>
      </c>
      <c r="K44" s="1021">
        <f>+'Part VII-Pro Forma'!K25</f>
        <v>252402.42204329313</v>
      </c>
    </row>
    <row r="45" spans="1:11">
      <c r="A45" s="1020" t="s">
        <v>3590</v>
      </c>
      <c r="B45" s="1021">
        <f>SUM('Part VII-Pro Forma'!B26:B29)</f>
        <v>-187467.49578763059</v>
      </c>
      <c r="C45" s="1021">
        <f>SUM('Part VII-Pro Forma'!C26:C29)</f>
        <v>-187467.49578763059</v>
      </c>
      <c r="D45" s="1021">
        <f>SUM('Part VII-Pro Forma'!D26:D29)</f>
        <v>-187467.49578763059</v>
      </c>
      <c r="E45" s="1021">
        <f>SUM('Part VII-Pro Forma'!E26:E29)</f>
        <v>-187467.49578763059</v>
      </c>
      <c r="F45" s="1021">
        <f>SUM('Part VII-Pro Forma'!F26:F29)</f>
        <v>-187467.49578763059</v>
      </c>
      <c r="G45" s="1021">
        <f>SUM('Part VII-Pro Forma'!G26:G29)</f>
        <v>-187467.49578763059</v>
      </c>
      <c r="H45" s="1021">
        <f>SUM('Part VII-Pro Forma'!H26:H29)</f>
        <v>-187467.49578763059</v>
      </c>
      <c r="I45" s="1021">
        <f>SUM('Part VII-Pro Forma'!I26:I29)</f>
        <v>-187467.49578763059</v>
      </c>
      <c r="J45" s="1021">
        <f>SUM('Part VII-Pro Forma'!J26:J29)</f>
        <v>-187467.49578763059</v>
      </c>
      <c r="K45" s="1021">
        <f>SUM('Part VII-Pro Forma'!K26:K29)</f>
        <v>-187467.49578763059</v>
      </c>
    </row>
    <row r="46" spans="1:11">
      <c r="A46" s="1020" t="s">
        <v>3591</v>
      </c>
      <c r="B46" s="1022">
        <f t="shared" ref="B46:K46" si="0">-B44/B48-B45</f>
        <v>-22784.896839036111</v>
      </c>
      <c r="C46" s="1022">
        <f t="shared" si="0"/>
        <v>-23257.728024902783</v>
      </c>
      <c r="D46" s="1022">
        <f t="shared" si="0"/>
        <v>-23628.115501153457</v>
      </c>
      <c r="E46" s="1022">
        <f t="shared" si="0"/>
        <v>-23890.168050262437</v>
      </c>
      <c r="F46" s="1022">
        <f t="shared" si="0"/>
        <v>-24039.459193387011</v>
      </c>
      <c r="G46" s="1022">
        <f t="shared" si="0"/>
        <v>-24068.853462031751</v>
      </c>
      <c r="H46" s="1022">
        <f t="shared" si="0"/>
        <v>-23972.665771120111</v>
      </c>
      <c r="I46" s="1022">
        <f t="shared" si="0"/>
        <v>-23744.987219446106</v>
      </c>
      <c r="J46" s="1022">
        <f t="shared" si="0"/>
        <v>-23378.843976586912</v>
      </c>
      <c r="K46" s="1022">
        <f t="shared" si="0"/>
        <v>-22867.855915113701</v>
      </c>
    </row>
    <row r="48" spans="1:11">
      <c r="A48" s="1020" t="s">
        <v>3592</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252302.87115200004</v>
      </c>
      <c r="C51" s="1022">
        <f t="shared" ref="C51:K51" si="2">+C44</f>
        <v>252870.26857504004</v>
      </c>
      <c r="D51" s="1022">
        <f t="shared" si="2"/>
        <v>253314.73354654084</v>
      </c>
      <c r="E51" s="1022">
        <f t="shared" si="2"/>
        <v>253629.1966054716</v>
      </c>
      <c r="F51" s="1022">
        <f t="shared" si="2"/>
        <v>253808.34597722112</v>
      </c>
      <c r="G51" s="1022">
        <f t="shared" si="2"/>
        <v>253843.6190995948</v>
      </c>
      <c r="H51" s="1022">
        <f t="shared" si="2"/>
        <v>253728.19387050084</v>
      </c>
      <c r="I51" s="1022">
        <f t="shared" si="2"/>
        <v>253454.97960849202</v>
      </c>
      <c r="J51" s="1022">
        <f t="shared" si="2"/>
        <v>253015.60771706098</v>
      </c>
      <c r="K51" s="1022">
        <f t="shared" si="2"/>
        <v>252402.42204329313</v>
      </c>
    </row>
    <row r="52" spans="1:17">
      <c r="A52" s="1020" t="s">
        <v>3593</v>
      </c>
      <c r="B52" s="1022">
        <f>IF($B$25="N/A",B45,B45+$B$25)</f>
        <v>-210252.3926266667</v>
      </c>
      <c r="C52" s="1022">
        <f t="shared" ref="C52:K52" si="3">IF($B$25="N/A",C45,C45+$B$25)</f>
        <v>-210252.3926266667</v>
      </c>
      <c r="D52" s="1022">
        <f t="shared" si="3"/>
        <v>-210252.3926266667</v>
      </c>
      <c r="E52" s="1022">
        <f t="shared" si="3"/>
        <v>-210252.3926266667</v>
      </c>
      <c r="F52" s="1022">
        <f t="shared" si="3"/>
        <v>-210252.3926266667</v>
      </c>
      <c r="G52" s="1022">
        <f t="shared" si="3"/>
        <v>-210252.3926266667</v>
      </c>
      <c r="H52" s="1022">
        <f t="shared" si="3"/>
        <v>-210252.3926266667</v>
      </c>
      <c r="I52" s="1022">
        <f t="shared" si="3"/>
        <v>-210252.3926266667</v>
      </c>
      <c r="J52" s="1022">
        <f t="shared" si="3"/>
        <v>-210252.3926266667</v>
      </c>
      <c r="K52" s="1022">
        <f t="shared" si="3"/>
        <v>-210252.3926266667</v>
      </c>
    </row>
    <row r="53" spans="1:17">
      <c r="A53" s="1020" t="s">
        <v>3594</v>
      </c>
      <c r="B53" s="1021">
        <f>+'Part VII-Pro Forma'!B31</f>
        <v>0</v>
      </c>
      <c r="C53" s="1021">
        <f>+'Part VII-Pro Forma'!C31</f>
        <v>0</v>
      </c>
      <c r="D53" s="1021">
        <f>+'Part VII-Pro Forma'!D31</f>
        <v>0</v>
      </c>
      <c r="E53" s="1021">
        <f>+'Part VII-Pro Forma'!E31</f>
        <v>0</v>
      </c>
      <c r="F53" s="1021">
        <f>+'Part VII-Pro Forma'!F31</f>
        <v>0</v>
      </c>
      <c r="G53" s="1021">
        <f>+'Part VII-Pro Forma'!G31</f>
        <v>0</v>
      </c>
      <c r="H53" s="1021">
        <f>+'Part VII-Pro Forma'!H31</f>
        <v>0</v>
      </c>
      <c r="I53" s="1021">
        <f>+'Part VII-Pro Forma'!I31</f>
        <v>0</v>
      </c>
      <c r="J53" s="1021">
        <f>+'Part VII-Pro Forma'!J31</f>
        <v>0</v>
      </c>
      <c r="K53" s="1021">
        <f>+'Part VII-Pro Forma'!K31</f>
        <v>0</v>
      </c>
    </row>
    <row r="54" spans="1:17">
      <c r="A54" s="1020" t="s">
        <v>3595</v>
      </c>
      <c r="B54" s="1022">
        <f>+SUM(B51:B53)</f>
        <v>42050.478525333339</v>
      </c>
      <c r="C54" s="1022">
        <f t="shared" ref="C54:K54" si="4">+SUM(C51:C53)</f>
        <v>42617.875948373345</v>
      </c>
      <c r="D54" s="1022">
        <f t="shared" si="4"/>
        <v>43062.340919874143</v>
      </c>
      <c r="E54" s="1022">
        <f t="shared" si="4"/>
        <v>43376.803978804906</v>
      </c>
      <c r="F54" s="1022">
        <f t="shared" si="4"/>
        <v>43555.953350554424</v>
      </c>
      <c r="G54" s="1022">
        <f t="shared" si="4"/>
        <v>43591.226472928101</v>
      </c>
      <c r="H54" s="1022">
        <f t="shared" si="4"/>
        <v>43475.801243834139</v>
      </c>
      <c r="I54" s="1022">
        <f t="shared" si="4"/>
        <v>43202.586981825327</v>
      </c>
      <c r="J54" s="1022">
        <f t="shared" si="4"/>
        <v>42763.215090394282</v>
      </c>
      <c r="K54" s="1022">
        <f t="shared" si="4"/>
        <v>42150.029416626436</v>
      </c>
    </row>
    <row r="55" spans="1:17">
      <c r="A55" s="1020" t="s">
        <v>3508</v>
      </c>
      <c r="B55" s="1022">
        <f>-B54</f>
        <v>-42050.478525333339</v>
      </c>
      <c r="C55" s="1022">
        <f t="shared" ref="C55:K55" si="5">-C54</f>
        <v>-42617.875948373345</v>
      </c>
      <c r="D55" s="1022">
        <f t="shared" si="5"/>
        <v>-43062.340919874143</v>
      </c>
      <c r="E55" s="1022">
        <f t="shared" si="5"/>
        <v>-43376.803978804906</v>
      </c>
      <c r="F55" s="1022">
        <f t="shared" si="5"/>
        <v>-43555.953350554424</v>
      </c>
      <c r="G55" s="1022">
        <f t="shared" si="5"/>
        <v>-43591.226472928101</v>
      </c>
      <c r="H55" s="1022">
        <f t="shared" si="5"/>
        <v>-43475.801243834139</v>
      </c>
      <c r="I55" s="1022">
        <f t="shared" si="5"/>
        <v>-43202.586981825327</v>
      </c>
      <c r="J55" s="1022">
        <f t="shared" si="5"/>
        <v>-42763.215090394282</v>
      </c>
      <c r="K55" s="1022">
        <f t="shared" si="5"/>
        <v>-42150.029416626436</v>
      </c>
    </row>
    <row r="56" spans="1:17">
      <c r="A56" s="1020" t="s">
        <v>3596</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3597</v>
      </c>
      <c r="B58" s="1021">
        <f>IF($B$26="","",-FV('Part III-Sources of Funds'!$K$40/12,12,B52/12,B26))</f>
        <v>2408515.2956374767</v>
      </c>
      <c r="C58" s="1021">
        <f>IF($B$26="","",-FV('Part III-Sources of Funds'!$K$40/12,12,C52/12,B58))</f>
        <v>2322663.6902692821</v>
      </c>
      <c r="D58" s="1021">
        <f>IF($B$26="","",-FV('Part III-Sources of Funds'!$K$40/12,12,D52/12,C58))</f>
        <v>2232194.8235858046</v>
      </c>
      <c r="E58" s="1021">
        <f>IF($B$26="","",-FV('Part III-Sources of Funds'!$K$40/12,12,E52/12,D58))</f>
        <v>2136860.3705619941</v>
      </c>
      <c r="F58" s="1021">
        <f>IF($B$26="","",-FV('Part III-Sources of Funds'!$K$40/12,12,F52/12,E58))</f>
        <v>2036398.6507844324</v>
      </c>
      <c r="G58" s="1021">
        <f>IF($B$26="","",-FV('Part III-Sources of Funds'!$K$40/12,12,G52/12,F58))</f>
        <v>1930533.9101733482</v>
      </c>
      <c r="H58" s="1021">
        <f>IF($B$26="","",-FV('Part III-Sources of Funds'!$K$40/12,12,H52/12,G58))</f>
        <v>1818975.5640742863</v>
      </c>
      <c r="I58" s="1021">
        <f>IF($B$26="","",-FV('Part III-Sources of Funds'!$K$40/12,12,I52/12,H58))</f>
        <v>1701417.3996418216</v>
      </c>
      <c r="J58" s="1021">
        <f>IF($B$26="","",-FV('Part III-Sources of Funds'!$K$40/12,12,J52/12,I58))</f>
        <v>1577536.7353259618</v>
      </c>
      <c r="K58" s="1021">
        <f>IF($B$26="","",-FV('Part III-Sources of Funds'!$K$40/12,12,K52/12,J58))</f>
        <v>1446993.5351541438</v>
      </c>
    </row>
    <row r="59" spans="1:17">
      <c r="A59" s="1020" t="s">
        <v>3509</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3589</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251607.46892120663</v>
      </c>
      <c r="C64" s="1021">
        <f>+'Part VII-Pro Forma'!C57</f>
        <v>250620.48688978961</v>
      </c>
      <c r="D64" s="1021">
        <f>+'Part VII-Pro Forma'!D57</f>
        <v>249432.89607544953</v>
      </c>
      <c r="E64" s="1021">
        <f>+'Part VII-Pro Forma'!E57</f>
        <v>248036.78722825827</v>
      </c>
      <c r="F64" s="1021">
        <f>+'Part VII-Pro Forma'!F57</f>
        <v>246419.91040106211</v>
      </c>
      <c r="G64" s="1021">
        <f>+'Part VII-Pro Forma'!G57</f>
        <v>244573.66326016912</v>
      </c>
      <c r="H64" s="1021">
        <f>+'Part VII-Pro Forma'!H57</f>
        <v>242488.07901599124</v>
      </c>
      <c r="I64" s="1021">
        <f>+'Part VII-Pro Forma'!I57</f>
        <v>240150.81396164806</v>
      </c>
      <c r="J64" s="1021">
        <f>+'Part VII-Pro Forma'!J57</f>
        <v>237551.13460717816</v>
      </c>
      <c r="K64" s="1021">
        <f>+'Part VII-Pro Forma'!K57</f>
        <v>234677.9043966078</v>
      </c>
    </row>
    <row r="65" spans="1:11">
      <c r="A65" s="1020" t="s">
        <v>3590</v>
      </c>
      <c r="B65" s="1021">
        <f>SUM('Part VII-Pro Forma'!B58:B61)</f>
        <v>-187467.49578763059</v>
      </c>
      <c r="C65" s="1021">
        <f>SUM('Part VII-Pro Forma'!C58:C61)</f>
        <v>-187467.49578763059</v>
      </c>
      <c r="D65" s="1021">
        <f>SUM('Part VII-Pro Forma'!D58:D61)</f>
        <v>-187467.49578763059</v>
      </c>
      <c r="E65" s="1021">
        <f>SUM('Part VII-Pro Forma'!E58:E61)</f>
        <v>-187467.49578763059</v>
      </c>
      <c r="F65" s="1021">
        <f>SUM('Part VII-Pro Forma'!F58:F61)</f>
        <v>-187467.49578763059</v>
      </c>
      <c r="G65" s="1021">
        <f>SUM('Part VII-Pro Forma'!G58:G61)</f>
        <v>-187467.49578763059</v>
      </c>
      <c r="H65" s="1021">
        <f>SUM('Part VII-Pro Forma'!H58:H61)</f>
        <v>-187467.49578763059</v>
      </c>
      <c r="I65" s="1021">
        <f>SUM('Part VII-Pro Forma'!I58:I61)</f>
        <v>-187467.49578763059</v>
      </c>
      <c r="J65" s="1021">
        <f>SUM('Part VII-Pro Forma'!J58:J61)</f>
        <v>-187467.49578763059</v>
      </c>
      <c r="K65" s="1021">
        <f>SUM('Part VII-Pro Forma'!K58:K61)</f>
        <v>-187467.49578763059</v>
      </c>
    </row>
    <row r="66" spans="1:11">
      <c r="A66" s="1020" t="s">
        <v>3591</v>
      </c>
      <c r="B66" s="1022">
        <f t="shared" ref="B66:K66" si="7">-B64/B68-B65</f>
        <v>-22205.394980041601</v>
      </c>
      <c r="C66" s="1022">
        <f t="shared" si="7"/>
        <v>-21382.90995386077</v>
      </c>
      <c r="D66" s="1022">
        <f t="shared" si="7"/>
        <v>-20393.250941910694</v>
      </c>
      <c r="E66" s="1022">
        <f t="shared" si="7"/>
        <v>-19229.826902584638</v>
      </c>
      <c r="F66" s="1022">
        <f t="shared" si="7"/>
        <v>-17882.429546587839</v>
      </c>
      <c r="G66" s="1022">
        <f t="shared" si="7"/>
        <v>-16343.890262510366</v>
      </c>
      <c r="H66" s="1022">
        <f t="shared" si="7"/>
        <v>-14605.903392362117</v>
      </c>
      <c r="I66" s="1022">
        <f t="shared" si="7"/>
        <v>-12658.182513742795</v>
      </c>
      <c r="J66" s="1022">
        <f t="shared" si="7"/>
        <v>-10491.783051684557</v>
      </c>
      <c r="K66" s="1022">
        <f t="shared" si="7"/>
        <v>-8097.4245428759314</v>
      </c>
    </row>
    <row r="68" spans="1:11">
      <c r="A68" s="1020" t="s">
        <v>3592</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251607.46892120663</v>
      </c>
      <c r="C71" s="1022">
        <f t="shared" si="9"/>
        <v>250620.48688978961</v>
      </c>
      <c r="D71" s="1022">
        <f t="shared" si="9"/>
        <v>249432.89607544953</v>
      </c>
      <c r="E71" s="1022">
        <f t="shared" si="9"/>
        <v>248036.78722825827</v>
      </c>
      <c r="F71" s="1022">
        <f t="shared" si="9"/>
        <v>246419.91040106211</v>
      </c>
      <c r="G71" s="1022">
        <f t="shared" si="9"/>
        <v>244573.66326016912</v>
      </c>
      <c r="H71" s="1022">
        <f>+H64</f>
        <v>242488.07901599124</v>
      </c>
      <c r="I71" s="1022">
        <f>+I64</f>
        <v>240150.81396164806</v>
      </c>
      <c r="J71" s="1022">
        <f>+J64</f>
        <v>237551.13460717816</v>
      </c>
      <c r="K71" s="1022">
        <f>+K64</f>
        <v>234677.9043966078</v>
      </c>
    </row>
    <row r="72" spans="1:11">
      <c r="A72" s="1020" t="s">
        <v>3593</v>
      </c>
      <c r="B72" s="1022">
        <f t="shared" ref="B72:G72" si="10">IF($B$25="N/A",B65,B65+$B$25)</f>
        <v>-210252.3926266667</v>
      </c>
      <c r="C72" s="1022">
        <f t="shared" si="10"/>
        <v>-210252.3926266667</v>
      </c>
      <c r="D72" s="1022">
        <f t="shared" si="10"/>
        <v>-210252.3926266667</v>
      </c>
      <c r="E72" s="1022">
        <f t="shared" si="10"/>
        <v>-210252.3926266667</v>
      </c>
      <c r="F72" s="1022">
        <f t="shared" si="10"/>
        <v>-210252.3926266667</v>
      </c>
      <c r="G72" s="1022">
        <f t="shared" si="10"/>
        <v>-210252.3926266667</v>
      </c>
      <c r="H72" s="1022">
        <f>IF($B$25="N/A",H65,H65+$B$25)</f>
        <v>-210252.3926266667</v>
      </c>
      <c r="I72" s="1022">
        <f>IF($B$25="N/A",I65,I65+$B$25)</f>
        <v>-210252.3926266667</v>
      </c>
      <c r="J72" s="1022">
        <f>IF($B$25="N/A",J65,J65+$B$25)</f>
        <v>-210252.3926266667</v>
      </c>
      <c r="K72" s="1022">
        <f>IF($B$25="N/A",K65,K65+$B$25)</f>
        <v>-210252.3926266667</v>
      </c>
    </row>
    <row r="73" spans="1:11">
      <c r="A73" s="1020" t="s">
        <v>3594</v>
      </c>
      <c r="B73" s="1021">
        <f>+'Part VII-Pro Forma'!B63</f>
        <v>0</v>
      </c>
      <c r="C73" s="1021">
        <f>+'Part VII-Pro Forma'!C63</f>
        <v>0</v>
      </c>
      <c r="D73" s="1021">
        <f>+'Part VII-Pro Forma'!D63</f>
        <v>0</v>
      </c>
      <c r="E73" s="1021">
        <f>+'Part VII-Pro Forma'!E63</f>
        <v>0</v>
      </c>
      <c r="F73" s="1021">
        <f>+'Part VII-Pro Forma'!F63</f>
        <v>0</v>
      </c>
      <c r="G73" s="1021">
        <f>+'Part VII-Pro Forma'!G63</f>
        <v>0</v>
      </c>
      <c r="H73" s="1021">
        <f>+'Part VII-Pro Forma'!H63</f>
        <v>0</v>
      </c>
      <c r="I73" s="1021">
        <f>+'Part VII-Pro Forma'!I63</f>
        <v>0</v>
      </c>
      <c r="J73" s="1021">
        <f>+'Part VII-Pro Forma'!J63</f>
        <v>0</v>
      </c>
      <c r="K73" s="1021">
        <f>+'Part VII-Pro Forma'!K63</f>
        <v>0</v>
      </c>
    </row>
    <row r="74" spans="1:11">
      <c r="A74" s="1020" t="s">
        <v>3595</v>
      </c>
      <c r="B74" s="1022">
        <f t="shared" ref="B74:G74" si="11">+SUM(B71:B73)</f>
        <v>41355.076294539933</v>
      </c>
      <c r="C74" s="1022">
        <f t="shared" si="11"/>
        <v>40368.094263122912</v>
      </c>
      <c r="D74" s="1022">
        <f t="shared" si="11"/>
        <v>39180.503448782838</v>
      </c>
      <c r="E74" s="1022">
        <f t="shared" si="11"/>
        <v>37784.394601591572</v>
      </c>
      <c r="F74" s="1022">
        <f t="shared" si="11"/>
        <v>36167.517774395412</v>
      </c>
      <c r="G74" s="1022">
        <f t="shared" si="11"/>
        <v>34321.270633502427</v>
      </c>
      <c r="H74" s="1022">
        <f>+SUM(H71:H73)</f>
        <v>32235.686389324546</v>
      </c>
      <c r="I74" s="1022">
        <f>+SUM(I71:I73)</f>
        <v>29898.421334981365</v>
      </c>
      <c r="J74" s="1022">
        <f>+SUM(J71:J73)</f>
        <v>27298.741980511462</v>
      </c>
      <c r="K74" s="1022">
        <f>+SUM(K71:K73)</f>
        <v>24425.511769941106</v>
      </c>
    </row>
    <row r="75" spans="1:11">
      <c r="A75" s="1020" t="s">
        <v>3508</v>
      </c>
      <c r="B75" s="1022">
        <f t="shared" ref="B75:G75" si="12">-B74</f>
        <v>-41355.076294539933</v>
      </c>
      <c r="C75" s="1022">
        <f t="shared" si="12"/>
        <v>-40368.094263122912</v>
      </c>
      <c r="D75" s="1022">
        <f t="shared" si="12"/>
        <v>-39180.503448782838</v>
      </c>
      <c r="E75" s="1022">
        <f t="shared" si="12"/>
        <v>-37784.394601591572</v>
      </c>
      <c r="F75" s="1022">
        <f t="shared" si="12"/>
        <v>-36167.517774395412</v>
      </c>
      <c r="G75" s="1022">
        <f t="shared" si="12"/>
        <v>-34321.270633502427</v>
      </c>
      <c r="H75" s="1022">
        <f>-H74</f>
        <v>-32235.686389324546</v>
      </c>
      <c r="I75" s="1022">
        <f>-I74</f>
        <v>-29898.421334981365</v>
      </c>
      <c r="J75" s="1022">
        <f>-J74</f>
        <v>-27298.741980511462</v>
      </c>
      <c r="K75" s="1022">
        <f>-K74</f>
        <v>-24425.511769941106</v>
      </c>
    </row>
    <row r="76" spans="1:11">
      <c r="A76" s="1020" t="s">
        <v>3596</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3597</v>
      </c>
      <c r="B78" s="1021">
        <f>IF($B$26="","",-FV('Part III-Sources of Funds'!$K$40/12,12,B72/12,K58))</f>
        <v>1309429.4753776444</v>
      </c>
      <c r="C78" s="1021">
        <f>IF($B$26="","",-FV('Part III-Sources of Funds'!$K$40/12,12,C72/12,B78))</f>
        <v>1164466.9609204754</v>
      </c>
      <c r="D78" s="1021">
        <f>IF($B$26="","",-FV('Part III-Sources of Funds'!$K$40/12,12,D72/12,C78))</f>
        <v>1011708.0889310431</v>
      </c>
      <c r="E78" s="1021">
        <f>IF($B$26="","",-FV('Part III-Sources of Funds'!$K$40/12,12,E72/12,D78))</f>
        <v>850733.55659166013</v>
      </c>
      <c r="F78" s="1021">
        <f>IF($B$26="","",-FV('Part III-Sources of Funds'!$K$40/12,12,F72/12,E78))</f>
        <v>681101.51018799434</v>
      </c>
      <c r="G78" s="1021">
        <f>IF($B$26="","",-FV('Part III-Sources of Funds'!$K$40/12,12,G72/12,F78))</f>
        <v>502346.33227929904</v>
      </c>
      <c r="H78" s="1021">
        <f>IF($B$26="","",-FV('Part III-Sources of Funds'!$K$40/12,12,H72/12,G78))</f>
        <v>313977.3636403709</v>
      </c>
      <c r="I78" s="1021">
        <f>IF($B$26="","",-FV('Part III-Sources of Funds'!$K$40/12,12,I72/12,H78))</f>
        <v>115477.55646713503</v>
      </c>
      <c r="J78" s="1021">
        <f>IF($B$26="","",-FV('Part III-Sources of Funds'!$K$40/12,12,J72/12,I78))</f>
        <v>-93697.944850914893</v>
      </c>
      <c r="K78" s="1021">
        <f>IF($B$26="","",-FV('Part III-Sources of Funds'!$K$40/12,12,K72/12,J78))</f>
        <v>-314123.29928701231</v>
      </c>
    </row>
    <row r="79" spans="1:11">
      <c r="A79" s="1020" t="s">
        <v>3509</v>
      </c>
    </row>
    <row r="82" spans="1:2">
      <c r="A82" s="1020" t="s">
        <v>3598</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Roswell Redevelopment Phase I</v>
      </c>
    </row>
    <row r="2" spans="1:15" ht="13.5" customHeight="1"/>
    <row r="3" spans="1:15" ht="13.5" customHeight="1">
      <c r="A3" s="589" t="s">
        <v>2826</v>
      </c>
      <c r="C3" s="588" t="s">
        <v>2827</v>
      </c>
      <c r="E3" s="674">
        <f>SUM('Part IV-A-Uses of Funds'!J162,'Part IV-A-Uses of Funds'!M162,'Part IV-A-Uses of Funds'!P162)</f>
        <v>16463128.724996436</v>
      </c>
      <c r="F3" s="1094" t="s">
        <v>2828</v>
      </c>
      <c r="H3" s="1074">
        <v>27.5</v>
      </c>
      <c r="I3" s="588" t="s">
        <v>2357</v>
      </c>
      <c r="K3" s="593" t="s">
        <v>2849</v>
      </c>
      <c r="M3" s="1094"/>
      <c r="O3" s="675"/>
    </row>
    <row r="4" spans="1:15" ht="13.5" customHeight="1">
      <c r="C4" s="588" t="s">
        <v>3248</v>
      </c>
      <c r="E4" s="674">
        <f>SUM('Part IV-A-Uses of Funds'!G97:H101)</f>
        <v>106250</v>
      </c>
      <c r="F4" s="1094" t="s">
        <v>3813</v>
      </c>
      <c r="H4" s="589">
        <f>'Part III-Sources of Funds'!M40</f>
        <v>35</v>
      </c>
      <c r="I4" s="588" t="s">
        <v>2357</v>
      </c>
      <c r="K4" s="676" t="s">
        <v>3077</v>
      </c>
      <c r="M4" s="1094"/>
    </row>
    <row r="5" spans="1:15" ht="13.5" customHeight="1">
      <c r="C5" s="588" t="s">
        <v>3249</v>
      </c>
      <c r="E5" s="674">
        <f>SUM('Part IV-A-Uses of Funds'!G105:H111)</f>
        <v>185500</v>
      </c>
      <c r="F5" s="1094" t="s">
        <v>3812</v>
      </c>
      <c r="H5" s="1074">
        <v>15</v>
      </c>
      <c r="I5" s="588" t="s">
        <v>2357</v>
      </c>
      <c r="K5" s="675">
        <f>-E6</f>
        <v>-15500000</v>
      </c>
    </row>
    <row r="6" spans="1:15" ht="13.5" customHeight="1">
      <c r="C6" s="588" t="s">
        <v>2829</v>
      </c>
      <c r="E6" s="677">
        <f>'Part III-Sources of Funds'!$I$51+'Part III-Sources of Funds'!$I$52</f>
        <v>15500000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0</v>
      </c>
      <c r="D9" s="682">
        <f>'Part VII-Pro Forma'!C33</f>
        <v>0</v>
      </c>
      <c r="E9" s="682">
        <f>'Part VII-Pro Forma'!D33</f>
        <v>0</v>
      </c>
      <c r="F9" s="682">
        <f>'Part VII-Pro Forma'!E33</f>
        <v>0</v>
      </c>
      <c r="G9" s="682">
        <f>'Part VII-Pro Forma'!F33</f>
        <v>0</v>
      </c>
      <c r="H9" s="682">
        <f>'Part VII-Pro Forma'!G33</f>
        <v>37546.929540575948</v>
      </c>
      <c r="I9" s="682">
        <f>'Part VII-Pro Forma'!H33</f>
        <v>66260.698082870251</v>
      </c>
      <c r="K9" s="675" t="e">
        <f>F24</f>
        <v>#VALUE!</v>
      </c>
      <c r="N9" s="683" t="s">
        <v>2835</v>
      </c>
    </row>
    <row r="10" spans="1:15" ht="13.5" customHeight="1">
      <c r="A10" s="588" t="s">
        <v>2834</v>
      </c>
      <c r="C10" s="1044">
        <f>'Part III-Sources of Funds'!I40-'Part VII-Pro Forma'!B40</f>
        <v>30699.208837258164</v>
      </c>
      <c r="D10" s="684">
        <f>'Part VII-Pro Forma'!B40-'Part VII-Pro Forma'!C40</f>
        <v>32350.270209566224</v>
      </c>
      <c r="E10" s="684">
        <f>'Part VII-Pro Forma'!C40-'Part VII-Pro Forma'!D40</f>
        <v>34090.12877757987</v>
      </c>
      <c r="F10" s="684">
        <f>'Part VII-Pro Forma'!D40-'Part VII-Pro Forma'!E40</f>
        <v>35923.560222020373</v>
      </c>
      <c r="G10" s="684">
        <f>'Part VII-Pro Forma'!E40-'Part VII-Pro Forma'!F40</f>
        <v>37855.597068728413</v>
      </c>
      <c r="H10" s="684">
        <f>'Part VII-Pro Forma'!F40-'Part VII-Pro Forma'!G40</f>
        <v>39891.542502278928</v>
      </c>
      <c r="I10" s="684">
        <f>'Part VII-Pro Forma'!G40-'Part VII-Pro Forma'!H40</f>
        <v>42036.984922520351</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-23750</v>
      </c>
      <c r="D13" s="1045">
        <f>'Part VII-Pro Forma'!C23</f>
        <v>-24462.5</v>
      </c>
      <c r="E13" s="1045">
        <f>'Part VII-Pro Forma'!D23</f>
        <v>-25196.375</v>
      </c>
      <c r="F13" s="1045">
        <f>'Part VII-Pro Forma'!E23</f>
        <v>-25952.266250000001</v>
      </c>
      <c r="G13" s="1045">
        <f>'Part VII-Pro Forma'!F23</f>
        <v>-26730.834237499999</v>
      </c>
      <c r="H13" s="1045">
        <f>'Part VII-Pro Forma'!G23</f>
        <v>-27532.759264624998</v>
      </c>
      <c r="I13" s="1045">
        <f>'Part VII-Pro Forma'!H23</f>
        <v>-28358.742042563747</v>
      </c>
      <c r="K13" s="675" t="e">
        <f>C44</f>
        <v>#VALUE!</v>
      </c>
      <c r="O13" s="680"/>
    </row>
    <row r="14" spans="1:15" ht="13.5" customHeight="1">
      <c r="A14" s="686" t="s">
        <v>3251</v>
      </c>
      <c r="B14" s="687"/>
      <c r="C14" s="1045">
        <f>'Part VII-Pro Forma'!B32</f>
        <v>-64835.375364369451</v>
      </c>
      <c r="D14" s="1045">
        <f>'Part VII-Pro Forma'!C32</f>
        <v>-65402.772787409456</v>
      </c>
      <c r="E14" s="1045">
        <f>'Part VII-Pro Forma'!D32</f>
        <v>-65847.237758910254</v>
      </c>
      <c r="F14" s="1045">
        <f>'Part VII-Pro Forma'!E32</f>
        <v>-66161.700817841018</v>
      </c>
      <c r="G14" s="1045">
        <f>'Part VII-Pro Forma'!F32</f>
        <v>-66340.850189590536</v>
      </c>
      <c r="H14" s="1045">
        <f>'Part VII-Pro Forma'!G32</f>
        <v>-28829.193771388265</v>
      </c>
      <c r="I14" s="1045">
        <f>'Part VII-Pro Forma'!H32</f>
        <v>0</v>
      </c>
      <c r="K14" s="675" t="e">
        <f>D44</f>
        <v>#VALUE!</v>
      </c>
      <c r="M14" s="588" t="s">
        <v>2841</v>
      </c>
      <c r="O14" s="680" t="e">
        <f>O6-O8-O12</f>
        <v>#VALUE!</v>
      </c>
    </row>
    <row r="15" spans="1:15" ht="13.5" customHeight="1">
      <c r="A15" s="688" t="s">
        <v>2837</v>
      </c>
      <c r="C15" s="689">
        <f t="shared" ref="C15:I15" si="0">$E$3/$H$3</f>
        <v>598659.22636350675</v>
      </c>
      <c r="D15" s="689">
        <f t="shared" si="0"/>
        <v>598659.22636350675</v>
      </c>
      <c r="E15" s="689">
        <f t="shared" si="0"/>
        <v>598659.22636350675</v>
      </c>
      <c r="F15" s="689">
        <f t="shared" si="0"/>
        <v>598659.22636350675</v>
      </c>
      <c r="G15" s="689">
        <f t="shared" si="0"/>
        <v>598659.22636350675</v>
      </c>
      <c r="H15" s="689">
        <f t="shared" si="0"/>
        <v>598659.22636350675</v>
      </c>
      <c r="I15" s="689">
        <f t="shared" si="0"/>
        <v>598659.22636350675</v>
      </c>
      <c r="K15" s="675" t="e">
        <f>E44</f>
        <v>#VALUE!</v>
      </c>
      <c r="O15" s="680"/>
    </row>
    <row r="16" spans="1:15" ht="13.5" customHeight="1">
      <c r="A16" s="688" t="s">
        <v>2839</v>
      </c>
      <c r="C16" s="689">
        <f>IF(C$8&lt;=$H$4,($E$4/$H$4),0)+IF(C$8&lt;=$H$5,($E$5/$H$5),0)</f>
        <v>15402.380952380952</v>
      </c>
      <c r="D16" s="689">
        <f t="shared" ref="D16:I16" si="1">IF(D$8&lt;=$H$4,($E$4/$H$4),0)+IF(D$8&lt;=$H$5,($E$5/$H$5),0)</f>
        <v>15402.380952380952</v>
      </c>
      <c r="E16" s="689">
        <f t="shared" si="1"/>
        <v>15402.380952380952</v>
      </c>
      <c r="F16" s="689">
        <f t="shared" si="1"/>
        <v>15402.380952380952</v>
      </c>
      <c r="G16" s="689">
        <f t="shared" si="1"/>
        <v>15402.380952380952</v>
      </c>
      <c r="H16" s="689">
        <f t="shared" si="1"/>
        <v>15402.380952380952</v>
      </c>
      <c r="I16" s="689">
        <f t="shared" si="1"/>
        <v>15402.380952380952</v>
      </c>
      <c r="K16" s="675" t="e">
        <f>F44</f>
        <v>#VALUE!</v>
      </c>
      <c r="M16" s="588" t="s">
        <v>2843</v>
      </c>
      <c r="O16" s="680">
        <f>E3</f>
        <v>16463128.724996436</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11973184.527270135</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4489944.1977263018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4489944.1977263018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-4489944.1977263018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65987.483820861438</v>
      </c>
      <c r="D29" s="682">
        <f>'Part VII-Pro Forma'!J33</f>
        <v>65548.111929430394</v>
      </c>
      <c r="E29" s="682">
        <f>'Part VII-Pro Forma'!K33</f>
        <v>64934.926255662547</v>
      </c>
      <c r="F29" s="682">
        <f>'Part VII-Pro Forma'!B65</f>
        <v>64139.973133576044</v>
      </c>
      <c r="G29" s="682">
        <f>'Part VII-Pro Forma'!C65</f>
        <v>63152.991102159023</v>
      </c>
      <c r="H29" s="682">
        <f>'Part VII-Pro Forma'!D65</f>
        <v>61965.400287818949</v>
      </c>
      <c r="I29" s="682">
        <f>'Part VII-Pro Forma'!E65</f>
        <v>60569.291440627683</v>
      </c>
      <c r="N29" s="693"/>
      <c r="O29" s="693"/>
    </row>
    <row r="30" spans="1:17" ht="13.5" customHeight="1">
      <c r="A30" s="588" t="s">
        <v>2834</v>
      </c>
      <c r="C30" s="684">
        <f>'Part VII-Pro Forma'!H40-'Part VII-Pro Forma'!I40</f>
        <v>44297.813283987343</v>
      </c>
      <c r="D30" s="684">
        <f>'Part VII-Pro Forma'!I40-'Part VII-Pro Forma'!J40</f>
        <v>46680.233260300942</v>
      </c>
      <c r="E30" s="684">
        <f>'Part VII-Pro Forma'!J40-'Part VII-Pro Forma'!K40</f>
        <v>49190.784277918283</v>
      </c>
      <c r="F30" s="1042">
        <f>'Part VII-Pro Forma'!K40-'Part VII-Pro Forma'!B72</f>
        <v>51836.357465988025</v>
      </c>
      <c r="G30" s="1042">
        <f>'Part VII-Pro Forma'!B72-'Part VII-Pro Forma'!C72</f>
        <v>54624.214571588207</v>
      </c>
      <c r="H30" s="1042">
        <f>'Part VII-Pro Forma'!C72-'Part VII-Pro Forma'!D72</f>
        <v>57562.007892253809</v>
      </c>
      <c r="I30" s="1042">
        <f>'Part VII-Pro Forma'!D72-'Part VII-Pro Forma'!E72</f>
        <v>60657.801280520391</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-897988.83954526042</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-29209.504303840662</v>
      </c>
      <c r="D33" s="1045">
        <f>'Part VII-Pro Forma'!J23</f>
        <v>-30085.789432955877</v>
      </c>
      <c r="E33" s="1045">
        <f>'Part VII-Pro Forma'!K23</f>
        <v>-30988.363115944554</v>
      </c>
      <c r="F33" s="1045">
        <f>'Part VII-Pro Forma'!B55</f>
        <v>-31918.014009422892</v>
      </c>
      <c r="G33" s="1045">
        <f>'Part VII-Pro Forma'!C55</f>
        <v>-32875.554429705582</v>
      </c>
      <c r="H33" s="1045">
        <f>'Part VII-Pro Forma'!D55</f>
        <v>-33861.82106259674</v>
      </c>
      <c r="I33" s="1045">
        <f>'Part VII-Pro Forma'!E55</f>
        <v>-34877.675694474645</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598659.22636350675</v>
      </c>
      <c r="D35" s="689">
        <f t="shared" si="8"/>
        <v>598659.22636350675</v>
      </c>
      <c r="E35" s="689">
        <f t="shared" si="8"/>
        <v>598659.22636350675</v>
      </c>
      <c r="F35" s="689">
        <f t="shared" si="8"/>
        <v>598659.22636350675</v>
      </c>
      <c r="G35" s="689">
        <f t="shared" si="8"/>
        <v>598659.22636350675</v>
      </c>
      <c r="H35" s="689">
        <f t="shared" si="8"/>
        <v>598659.22636350675</v>
      </c>
      <c r="I35" s="689">
        <f t="shared" si="8"/>
        <v>598659.22636350675</v>
      </c>
    </row>
    <row r="36" spans="1:15" ht="13.5" customHeight="1">
      <c r="A36" s="688" t="s">
        <v>2839</v>
      </c>
      <c r="C36" s="682">
        <f>IF(C$28&lt;=$H$4,($E$4/$H$4),0)+IF(C$28&lt;=$H$5,($E$5/$H$5),0)</f>
        <v>15402.380952380952</v>
      </c>
      <c r="D36" s="682">
        <f t="shared" ref="D36:I36" si="9">IF(D$28&lt;=$H$4,($E$4/$H$4),0)+IF(D$28&lt;=$H$5,($E$5/$H$5),0)</f>
        <v>15402.380952380952</v>
      </c>
      <c r="E36" s="682">
        <f t="shared" si="9"/>
        <v>15402.380952380952</v>
      </c>
      <c r="F36" s="682">
        <f t="shared" si="9"/>
        <v>15402.380952380952</v>
      </c>
      <c r="G36" s="682">
        <f t="shared" si="9"/>
        <v>15402.380952380952</v>
      </c>
      <c r="H36" s="682">
        <f t="shared" si="9"/>
        <v>15402.380952380952</v>
      </c>
      <c r="I36" s="682">
        <f t="shared" si="9"/>
        <v>15402.380952380952</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58952.414613431523</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63920.092278126162</v>
      </c>
      <c r="D50" s="1043">
        <f>'Part VII-Pro Forma'!F72-'Part VII-Pro Forma'!G72</f>
        <v>67357.835440637544</v>
      </c>
      <c r="E50" s="1043">
        <f>'Part VII-Pro Forma'!G72-'Part VII-Pro Forma'!H72</f>
        <v>70980.466916512698</v>
      </c>
      <c r="F50" s="1043">
        <f>'Part VII-Pro Forma'!H72-'Part VII-Pro Forma'!I72</f>
        <v>74797.930348079186</v>
      </c>
      <c r="G50" s="1043">
        <f>'Part VII-Pro Forma'!I72-'Part VII-Pro Forma'!J72</f>
        <v>78820.704165508039</v>
      </c>
      <c r="H50" s="1043">
        <f>'Part VII-Pro Forma'!J72-'Part VII-Pro Forma'!K72</f>
        <v>83059.830348716117</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-35924.005965308883</v>
      </c>
      <c r="D53" s="1045">
        <f>'Part VII-Pro Forma'!G55</f>
        <v>-37001.726144268156</v>
      </c>
      <c r="E53" s="1045">
        <f>'Part VII-Pro Forma'!H55</f>
        <v>-38111.777928596195</v>
      </c>
      <c r="F53" s="1045">
        <f>'Part VII-Pro Forma'!I55</f>
        <v>-39255.131266454082</v>
      </c>
      <c r="G53" s="1045">
        <f>'Part VII-Pro Forma'!J55</f>
        <v>-40432.785204447704</v>
      </c>
      <c r="H53" s="1045">
        <f>'Part VII-Pro Forma'!K55</f>
        <v>-41645.76876058113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598659.22636350675</v>
      </c>
      <c r="D55" s="689">
        <f t="shared" si="14"/>
        <v>598659.22636350675</v>
      </c>
      <c r="E55" s="689">
        <f t="shared" si="14"/>
        <v>598659.22636350675</v>
      </c>
      <c r="F55" s="689">
        <f t="shared" si="14"/>
        <v>598659.22636350675</v>
      </c>
      <c r="G55" s="689">
        <f t="shared" si="14"/>
        <v>598659.22636350675</v>
      </c>
      <c r="H55" s="689">
        <f t="shared" si="14"/>
        <v>598659.22636350675</v>
      </c>
    </row>
    <row r="56" spans="1:10" ht="13.5" customHeight="1">
      <c r="A56" s="688" t="s">
        <v>2839</v>
      </c>
      <c r="C56" s="682">
        <f t="shared" ref="C56:H56" si="15">IF(C$48&lt;=$H$4,($E$4/$H$4),0)+IF(C$48&lt;=$H$5,($E$5/$H$5),0)</f>
        <v>15402.380952380952</v>
      </c>
      <c r="D56" s="682">
        <f t="shared" si="15"/>
        <v>3035.7142857142858</v>
      </c>
      <c r="E56" s="682">
        <f t="shared" si="15"/>
        <v>3035.7142857142858</v>
      </c>
      <c r="F56" s="682">
        <f t="shared" si="15"/>
        <v>3035.7142857142858</v>
      </c>
      <c r="G56" s="682">
        <f t="shared" si="15"/>
        <v>3035.7142857142858</v>
      </c>
      <c r="H56" s="682">
        <f t="shared" si="15"/>
        <v>3035.7142857142858</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Roswell Redevelopment Phase I</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5.9" customHeight="1">
      <c r="A5" s="4473" t="str">
        <f>'Part III-Sources of Funds'!E40</f>
        <v xml:space="preserve">Grandbridge Real Estate Capital </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15622.291315635883</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15622.291315635883</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15622.291315635883</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15622.291315635883</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15622.291315635883</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15622.291315635883</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15622.291315635883</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15622.291315635883</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15622.291315635883</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15622.291315635883</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15622.291315635883</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15622.291315635883</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15622.291315635883</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15622.291315635883</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15622.291315635883</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15622.291315635883</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15622.291315635883</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15622.291315635883</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15622.291315635883</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15622.291315635883</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15622.291315635883</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15622.291315635883</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15622.291315635883</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15622.291315635883</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15622.291315635883</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15622.291315635883</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15622.291315635883</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15622.291315635883</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15622.291315635883</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15622.291315635883</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15622.291315635883</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15622.291315635883</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15622.291315635883</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15622.291315635883</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15622.291315635883</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20" zoomScaleNormal="12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6617</v>
      </c>
      <c r="C1" s="2673"/>
      <c r="D1" s="2673"/>
      <c r="E1" s="2673"/>
      <c r="F1" s="2673" t="s">
        <v>6618</v>
      </c>
      <c r="G1" s="2673" t="s">
        <v>6619</v>
      </c>
      <c r="H1" s="2673" t="s">
        <v>6620</v>
      </c>
      <c r="I1" s="2673" t="s">
        <v>6621</v>
      </c>
      <c r="J1" s="2673" t="s">
        <v>6622</v>
      </c>
      <c r="K1" s="2673" t="s">
        <v>6623</v>
      </c>
      <c r="L1" s="2673"/>
      <c r="M1" s="2673"/>
      <c r="N1" s="2673" t="s">
        <v>6624</v>
      </c>
      <c r="O1" s="2673" t="s">
        <v>6625</v>
      </c>
      <c r="P1" s="2673" t="s">
        <v>6626</v>
      </c>
      <c r="Z1" s="1773">
        <v>1</v>
      </c>
    </row>
    <row r="2" spans="1:26" s="289" customFormat="1" ht="14.1" customHeight="1">
      <c r="A2" s="3131" t="str">
        <f>CONCATENATE("PART ONE - PROJECT INFORMATION"," - ",$O$7," ",$F$35,", ",'Part I-Project Information'!F39,", ",'Part I-Project Information'!J40," County")</f>
        <v>PART ONE - PROJECT INFORMATION - 2021-018 Roswell Redevelopment Phase I, Roswell, Fulton County</v>
      </c>
      <c r="B2" s="3132"/>
      <c r="C2" s="3132"/>
      <c r="D2" s="3132"/>
      <c r="E2" s="3132"/>
      <c r="F2" s="3132"/>
      <c r="G2" s="3132"/>
      <c r="H2" s="3132"/>
      <c r="I2" s="3132"/>
      <c r="J2" s="3132"/>
      <c r="K2" s="3132"/>
      <c r="L2" s="3132"/>
      <c r="M2" s="3132"/>
      <c r="N2" s="3132"/>
      <c r="O2" s="3132"/>
      <c r="P2" s="3133"/>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1" t="s">
        <v>6281</v>
      </c>
      <c r="B4" s="3161"/>
      <c r="C4" s="3161"/>
      <c r="D4" s="3161"/>
      <c r="E4" s="3161"/>
      <c r="F4" s="3161"/>
      <c r="G4" s="3161"/>
      <c r="H4" s="3161"/>
      <c r="I4" s="3161"/>
      <c r="J4" s="3161"/>
      <c r="K4" s="3161"/>
      <c r="L4" s="3161"/>
      <c r="M4" s="3161"/>
      <c r="N4" s="3161"/>
      <c r="O4" s="3161"/>
      <c r="P4" s="3161"/>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3988</v>
      </c>
      <c r="L6" s="772"/>
      <c r="P6" s="936" t="s">
        <v>3428</v>
      </c>
      <c r="Z6" s="1773">
        <v>6</v>
      </c>
    </row>
    <row r="7" spans="1:26" s="289" customFormat="1" ht="12" customHeight="1" thickBot="1">
      <c r="B7" s="3162" t="s">
        <v>6847</v>
      </c>
      <c r="C7" s="3162"/>
      <c r="D7" s="3162"/>
      <c r="E7" s="1067"/>
      <c r="F7" s="292"/>
      <c r="G7" s="266" t="s">
        <v>6294</v>
      </c>
      <c r="H7" s="2629"/>
      <c r="I7" s="2629"/>
      <c r="J7" s="2629"/>
      <c r="O7" s="3134" t="s">
        <v>7020</v>
      </c>
      <c r="P7" s="3135"/>
      <c r="Z7" s="1773">
        <v>7</v>
      </c>
    </row>
    <row r="8" spans="1:26" s="289" customFormat="1" ht="12" customHeight="1">
      <c r="B8" s="3162"/>
      <c r="C8" s="3162"/>
      <c r="D8" s="3162"/>
      <c r="E8" s="1067"/>
      <c r="F8" s="490"/>
      <c r="G8" s="170" t="s">
        <v>3079</v>
      </c>
      <c r="H8" s="2629"/>
      <c r="I8" s="2629"/>
      <c r="J8" s="2629"/>
      <c r="Z8" s="1773">
        <v>8</v>
      </c>
    </row>
    <row r="9" spans="1:26" s="289" customFormat="1" ht="6" customHeight="1">
      <c r="A9" s="1711"/>
      <c r="B9" s="3162"/>
      <c r="C9" s="3162"/>
      <c r="D9" s="3162"/>
      <c r="E9" s="2629"/>
      <c r="H9" s="2629"/>
      <c r="I9" s="2629"/>
      <c r="M9" s="2629"/>
      <c r="Z9" s="1773">
        <v>9</v>
      </c>
    </row>
    <row r="10" spans="1:26" s="289" customFormat="1" ht="13.35" customHeight="1">
      <c r="A10" s="291" t="s">
        <v>586</v>
      </c>
      <c r="B10" s="291" t="s">
        <v>2270</v>
      </c>
      <c r="D10" s="267"/>
      <c r="E10" s="293"/>
      <c r="F10" s="2621" t="s">
        <v>3401</v>
      </c>
      <c r="I10" s="3136">
        <f>'Part IV-A-Uses of Funds'!$J$197</f>
        <v>1000000</v>
      </c>
      <c r="J10" s="3137"/>
      <c r="L10" s="289" t="s">
        <v>3402</v>
      </c>
      <c r="O10" s="3138">
        <f>'Part III-Sources of Funds'!$I$6</f>
        <v>0</v>
      </c>
      <c r="P10" s="3139"/>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0" t="s">
        <v>6848</v>
      </c>
      <c r="G12" s="3141"/>
      <c r="H12" s="3142"/>
      <c r="I12" s="2675" t="s">
        <v>3345</v>
      </c>
      <c r="J12" s="474" t="s">
        <v>6605</v>
      </c>
      <c r="K12" s="299"/>
      <c r="L12" s="2629"/>
      <c r="O12" s="3143" t="s">
        <v>6849</v>
      </c>
      <c r="P12" s="3144"/>
      <c r="Z12" s="1773">
        <v>12</v>
      </c>
    </row>
    <row r="13" spans="1:26" s="289" customFormat="1" ht="12.75" customHeight="1">
      <c r="A13" s="1711"/>
      <c r="B13" s="1326"/>
      <c r="C13" s="1326"/>
      <c r="D13" s="1326"/>
      <c r="E13" s="1326"/>
      <c r="H13" s="2629"/>
      <c r="J13" s="1011" t="s">
        <v>4081</v>
      </c>
      <c r="K13" s="1662"/>
      <c r="M13" s="2629"/>
      <c r="O13" s="3163" t="s">
        <v>2772</v>
      </c>
      <c r="P13" s="3164"/>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4285</v>
      </c>
      <c r="C15" s="1326"/>
      <c r="D15" s="1326"/>
      <c r="E15" s="1326"/>
      <c r="F15" s="2676" t="s">
        <v>2772</v>
      </c>
      <c r="G15" s="2620" t="s">
        <v>4286</v>
      </c>
      <c r="N15" s="3140" t="s">
        <v>4082</v>
      </c>
      <c r="O15" s="3141"/>
      <c r="P15" s="3142"/>
      <c r="Z15" s="1773">
        <v>15</v>
      </c>
    </row>
    <row r="16" spans="1:26" s="289" customFormat="1" ht="12.75" customHeight="1">
      <c r="A16" s="1711"/>
      <c r="B16" s="289" t="s">
        <v>4279</v>
      </c>
      <c r="D16" s="299"/>
      <c r="F16" s="3176"/>
      <c r="G16" s="3177"/>
      <c r="H16" s="3177"/>
      <c r="I16" s="3178"/>
      <c r="J16" s="289" t="s">
        <v>4117</v>
      </c>
      <c r="L16" s="3174"/>
      <c r="M16" s="3175"/>
      <c r="N16" s="289" t="s">
        <v>4116</v>
      </c>
      <c r="P16" s="2677"/>
      <c r="Z16" s="1773">
        <v>16</v>
      </c>
    </row>
    <row r="17" spans="1:26" s="289" customFormat="1" ht="12.75" customHeight="1">
      <c r="A17" s="1711"/>
      <c r="B17" s="289" t="s">
        <v>3400</v>
      </c>
      <c r="F17" s="2676" t="s">
        <v>2772</v>
      </c>
      <c r="G17" s="289" t="s">
        <v>4074</v>
      </c>
      <c r="H17" s="2629"/>
      <c r="I17" s="170"/>
      <c r="J17" s="475"/>
      <c r="N17" s="3180" t="s">
        <v>2675</v>
      </c>
      <c r="O17" s="3181"/>
      <c r="P17" s="3182"/>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3824</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3434</v>
      </c>
      <c r="F21" s="3158" t="s">
        <v>6850</v>
      </c>
      <c r="G21" s="3159"/>
      <c r="H21" s="3160"/>
      <c r="I21" s="1246" t="s">
        <v>1716</v>
      </c>
      <c r="J21" s="3158" t="s">
        <v>6851</v>
      </c>
      <c r="K21" s="3159"/>
      <c r="L21" s="3160"/>
      <c r="M21" s="321" t="s">
        <v>1890</v>
      </c>
      <c r="N21" s="3174" t="s">
        <v>6852</v>
      </c>
      <c r="O21" s="3172"/>
      <c r="P21" s="3175"/>
      <c r="Z21" s="1773">
        <v>21</v>
      </c>
    </row>
    <row r="22" spans="1:26" s="289" customFormat="1" ht="13.35" customHeight="1">
      <c r="B22" s="2621" t="s">
        <v>1891</v>
      </c>
      <c r="F22" s="3145" t="s">
        <v>6853</v>
      </c>
      <c r="G22" s="3146"/>
      <c r="H22" s="3146"/>
      <c r="I22" s="3147"/>
      <c r="J22" s="3146"/>
      <c r="K22" s="3148"/>
      <c r="L22" s="3149"/>
      <c r="M22" s="3153" t="s">
        <v>3433</v>
      </c>
      <c r="N22" s="3154"/>
      <c r="O22" s="3154"/>
      <c r="P22" s="3154"/>
      <c r="Z22" s="1773">
        <v>22</v>
      </c>
    </row>
    <row r="23" spans="1:26" s="289" customFormat="1" ht="13.35" customHeight="1">
      <c r="B23" s="2621" t="s">
        <v>588</v>
      </c>
      <c r="F23" s="3145" t="s">
        <v>1195</v>
      </c>
      <c r="G23" s="3146"/>
      <c r="H23" s="3152"/>
      <c r="I23" s="2621" t="s">
        <v>1717</v>
      </c>
      <c r="J23" s="2678" t="s">
        <v>1305</v>
      </c>
      <c r="M23" s="3153"/>
      <c r="N23" s="3153"/>
      <c r="O23" s="3153"/>
      <c r="P23" s="3153"/>
      <c r="Z23" s="1773">
        <v>23</v>
      </c>
    </row>
    <row r="24" spans="1:26" s="289" customFormat="1" ht="13.35" customHeight="1">
      <c r="B24" s="2620" t="s">
        <v>2128</v>
      </c>
      <c r="F24" s="3155">
        <v>187073535</v>
      </c>
      <c r="G24" s="3156"/>
      <c r="H24" s="3157"/>
      <c r="I24" s="2621" t="s">
        <v>1643</v>
      </c>
      <c r="J24" s="3179">
        <v>2673868668</v>
      </c>
      <c r="K24" s="3151"/>
      <c r="L24" s="2623" t="s">
        <v>1642</v>
      </c>
      <c r="M24" s="2679"/>
      <c r="N24" s="2620" t="s">
        <v>1644</v>
      </c>
      <c r="O24" s="3150">
        <v>2673868668</v>
      </c>
      <c r="P24" s="3151"/>
      <c r="Z24" s="1773">
        <v>24</v>
      </c>
    </row>
    <row r="25" spans="1:26" s="289" customFormat="1" ht="13.35" customHeight="1">
      <c r="B25" s="2620" t="s">
        <v>1894</v>
      </c>
      <c r="F25" s="3171" t="s">
        <v>6854</v>
      </c>
      <c r="G25" s="3147"/>
      <c r="H25" s="3147"/>
      <c r="I25" s="3172"/>
      <c r="J25" s="3147"/>
      <c r="K25" s="3173"/>
      <c r="N25" s="2620" t="s">
        <v>1889</v>
      </c>
      <c r="O25" s="3165"/>
      <c r="P25" s="3166"/>
      <c r="Z25" s="1773">
        <v>25</v>
      </c>
    </row>
    <row r="26" spans="1:26" s="289" customFormat="1" ht="13.5" customHeight="1">
      <c r="A26" s="1711"/>
      <c r="B26" s="291" t="s">
        <v>3823</v>
      </c>
      <c r="C26" s="297"/>
      <c r="D26" s="2628"/>
      <c r="E26" s="2628"/>
      <c r="F26" s="2628"/>
      <c r="H26" s="2629"/>
      <c r="I26" s="2628"/>
      <c r="J26" s="297"/>
      <c r="K26" s="2628"/>
      <c r="P26" s="298"/>
      <c r="Z26" s="1773">
        <v>26</v>
      </c>
    </row>
    <row r="27" spans="1:26" s="289" customFormat="1" ht="13.35" customHeight="1">
      <c r="B27" s="289" t="s">
        <v>3434</v>
      </c>
      <c r="F27" s="3158" t="s">
        <v>6850</v>
      </c>
      <c r="G27" s="3159"/>
      <c r="H27" s="3160"/>
      <c r="I27" s="1246" t="s">
        <v>1716</v>
      </c>
      <c r="J27" s="3158" t="s">
        <v>6855</v>
      </c>
      <c r="K27" s="3159"/>
      <c r="L27" s="3160"/>
      <c r="M27" s="321" t="s">
        <v>1890</v>
      </c>
      <c r="N27" s="3174" t="s">
        <v>6856</v>
      </c>
      <c r="O27" s="3172"/>
      <c r="P27" s="3175"/>
      <c r="Z27" s="1773">
        <v>27</v>
      </c>
    </row>
    <row r="28" spans="1:26" s="289" customFormat="1" ht="13.35" customHeight="1">
      <c r="B28" s="2621" t="s">
        <v>1891</v>
      </c>
      <c r="F28" s="3145" t="s">
        <v>6857</v>
      </c>
      <c r="G28" s="3146"/>
      <c r="H28" s="3146"/>
      <c r="I28" s="3147"/>
      <c r="J28" s="3146"/>
      <c r="K28" s="3148"/>
      <c r="L28" s="3149"/>
      <c r="M28" s="3153" t="s">
        <v>3433</v>
      </c>
      <c r="N28" s="3154"/>
      <c r="O28" s="3154"/>
      <c r="P28" s="3154"/>
      <c r="Z28" s="1773">
        <v>28</v>
      </c>
    </row>
    <row r="29" spans="1:26" s="289" customFormat="1" ht="13.35" customHeight="1">
      <c r="B29" s="2621" t="s">
        <v>588</v>
      </c>
      <c r="F29" s="3145" t="s">
        <v>1159</v>
      </c>
      <c r="G29" s="3146"/>
      <c r="H29" s="3152"/>
      <c r="I29" s="2621" t="s">
        <v>1717</v>
      </c>
      <c r="J29" s="2678" t="s">
        <v>815</v>
      </c>
      <c r="M29" s="3153"/>
      <c r="N29" s="3153"/>
      <c r="O29" s="3153"/>
      <c r="P29" s="3153"/>
      <c r="Z29" s="1773">
        <v>29</v>
      </c>
    </row>
    <row r="30" spans="1:26" s="289" customFormat="1" ht="13.35" customHeight="1">
      <c r="B30" s="2620" t="s">
        <v>2128</v>
      </c>
      <c r="F30" s="3155">
        <v>303081884</v>
      </c>
      <c r="G30" s="3156"/>
      <c r="H30" s="3157"/>
      <c r="I30" s="2621" t="s">
        <v>1643</v>
      </c>
      <c r="J30" s="3179">
        <v>4707476126</v>
      </c>
      <c r="K30" s="3151"/>
      <c r="L30" s="2623" t="s">
        <v>1642</v>
      </c>
      <c r="M30" s="2679"/>
      <c r="N30" s="2620" t="s">
        <v>1644</v>
      </c>
      <c r="O30" s="3150">
        <v>4707476126</v>
      </c>
      <c r="P30" s="3151"/>
      <c r="Z30" s="1773">
        <v>30</v>
      </c>
    </row>
    <row r="31" spans="1:26" s="289" customFormat="1" ht="13.35" customHeight="1">
      <c r="B31" s="2620" t="s">
        <v>1894</v>
      </c>
      <c r="F31" s="3171" t="s">
        <v>6858</v>
      </c>
      <c r="G31" s="3147"/>
      <c r="H31" s="3147"/>
      <c r="I31" s="3172"/>
      <c r="J31" s="3147"/>
      <c r="K31" s="3173"/>
      <c r="N31" s="2620" t="s">
        <v>1889</v>
      </c>
      <c r="O31" s="3165">
        <v>4705852413</v>
      </c>
      <c r="P31" s="3166"/>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187" t="s">
        <v>6859</v>
      </c>
      <c r="G35" s="3188"/>
      <c r="H35" s="3188"/>
      <c r="I35" s="3188"/>
      <c r="J35" s="3188"/>
      <c r="K35" s="3189"/>
      <c r="L35" s="2620" t="s">
        <v>2097</v>
      </c>
      <c r="O35" s="3158" t="s">
        <v>6860</v>
      </c>
      <c r="P35" s="3160"/>
      <c r="Z35" s="1773">
        <v>35</v>
      </c>
    </row>
    <row r="36" spans="1:26" s="289" customFormat="1" ht="13.35" customHeight="1">
      <c r="A36" s="300"/>
      <c r="B36" s="289" t="s">
        <v>2548</v>
      </c>
      <c r="D36" s="301"/>
      <c r="F36" s="3167" t="s">
        <v>6861</v>
      </c>
      <c r="G36" s="3168"/>
      <c r="H36" s="3168"/>
      <c r="I36" s="3168"/>
      <c r="J36" s="3168"/>
      <c r="K36" s="3169"/>
      <c r="L36" s="289" t="s">
        <v>3320</v>
      </c>
      <c r="O36" s="3170"/>
      <c r="P36" s="3152"/>
      <c r="Z36" s="1773">
        <v>36</v>
      </c>
    </row>
    <row r="37" spans="1:26" s="289" customFormat="1" ht="13.35" customHeight="1">
      <c r="A37" s="300"/>
      <c r="B37" s="289" t="s">
        <v>2572</v>
      </c>
      <c r="D37" s="301"/>
      <c r="F37" s="3170" t="s">
        <v>6861</v>
      </c>
      <c r="G37" s="3146"/>
      <c r="H37" s="3146"/>
      <c r="I37" s="3148"/>
      <c r="J37" s="3146"/>
      <c r="K37" s="3152"/>
      <c r="L37" s="2620" t="s">
        <v>1958</v>
      </c>
      <c r="N37" s="2679" t="s">
        <v>2772</v>
      </c>
      <c r="O37" s="2629" t="s">
        <v>3319</v>
      </c>
      <c r="P37" s="2680">
        <v>1</v>
      </c>
      <c r="Z37" s="1773">
        <v>37</v>
      </c>
    </row>
    <row r="38" spans="1:26" s="289" customFormat="1" ht="13.35" customHeight="1">
      <c r="A38" s="300"/>
      <c r="B38" s="289" t="s">
        <v>3361</v>
      </c>
      <c r="D38" s="301"/>
      <c r="F38" s="289" t="s">
        <v>3346</v>
      </c>
      <c r="G38" s="3183">
        <v>34.019480000000001</v>
      </c>
      <c r="H38" s="3184"/>
      <c r="I38" s="2623" t="s">
        <v>3347</v>
      </c>
      <c r="J38" s="3183">
        <v>-84.356890000000007</v>
      </c>
      <c r="K38" s="3184"/>
      <c r="L38" s="2620" t="s">
        <v>2180</v>
      </c>
      <c r="O38" s="3190">
        <v>2.8651</v>
      </c>
      <c r="P38" s="3191"/>
      <c r="Z38" s="1773">
        <v>38</v>
      </c>
    </row>
    <row r="39" spans="1:26" s="289" customFormat="1" ht="13.35" customHeight="1">
      <c r="A39" s="1711"/>
      <c r="B39" s="289" t="s">
        <v>588</v>
      </c>
      <c r="F39" s="3158" t="s">
        <v>2070</v>
      </c>
      <c r="G39" s="3201"/>
      <c r="H39" s="3202"/>
      <c r="I39" s="305" t="s">
        <v>2549</v>
      </c>
      <c r="J39" s="3155">
        <v>300754584</v>
      </c>
      <c r="K39" s="3157"/>
      <c r="L39" s="356" t="str">
        <f>IF(AND(NOT(F35=""),NOT(F39="Select from list"),J39=""),"Enter Zip!","")</f>
        <v/>
      </c>
      <c r="M39" s="303" t="s">
        <v>2693</v>
      </c>
      <c r="O39" s="3185" t="s">
        <v>6862</v>
      </c>
      <c r="P39" s="3186"/>
      <c r="Z39" s="1773">
        <v>39</v>
      </c>
    </row>
    <row r="40" spans="1:26" s="289" customFormat="1" ht="13.35" customHeight="1">
      <c r="A40" s="1711"/>
      <c r="B40" s="2628" t="s">
        <v>4096</v>
      </c>
      <c r="D40" s="2628"/>
      <c r="F40" s="3170" t="s">
        <v>6957</v>
      </c>
      <c r="G40" s="3148"/>
      <c r="H40" s="3149"/>
      <c r="I40" s="302" t="s">
        <v>589</v>
      </c>
      <c r="J40" s="3195" t="str">
        <f>IF(F39="","",VLOOKUP(F39,'DCA Underwriting Assumptions'!$T$174:$U$803,2,FALSE))</f>
        <v>Fulton</v>
      </c>
      <c r="K40" s="3196"/>
      <c r="M40" s="2620" t="s">
        <v>431</v>
      </c>
      <c r="N40" s="2681" t="s">
        <v>2772</v>
      </c>
      <c r="O40" s="2629" t="s">
        <v>432</v>
      </c>
      <c r="P40" s="2677" t="s">
        <v>2772</v>
      </c>
      <c r="Z40" s="1773">
        <v>40</v>
      </c>
    </row>
    <row r="41" spans="1:26" s="289" customFormat="1" ht="13.35" customHeight="1">
      <c r="A41" s="1711"/>
      <c r="B41" s="291"/>
      <c r="C41" s="289" t="s">
        <v>1494</v>
      </c>
      <c r="F41" s="2682" t="s">
        <v>2772</v>
      </c>
      <c r="G41" s="2634"/>
      <c r="H41" s="2635"/>
      <c r="I41" s="1617"/>
      <c r="J41" s="2623" t="s">
        <v>2610</v>
      </c>
      <c r="K41" s="1362" t="str">
        <f>IF(OR(F41="Yes",I41="Yes"),"Rural","Urban")</f>
        <v>Urban</v>
      </c>
      <c r="M41" s="2620" t="s">
        <v>2487</v>
      </c>
      <c r="N41" s="1363" t="str">
        <f>VLOOKUP($J$40,'DCA Underwriting Assumptions'!$G$174:$J$333,4)</f>
        <v>MSA</v>
      </c>
      <c r="O41" s="3197" t="str">
        <f>IF($F$39="","",VLOOKUP($J$40,'DCA Underwriting Assumptions'!$G$174:$L$333,3,FALSE))</f>
        <v>Atlanta-Sandy Springs-Marietta</v>
      </c>
      <c r="P41" s="3198"/>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199" t="s">
        <v>2592</v>
      </c>
      <c r="G43" s="3199"/>
      <c r="H43" s="3200" t="s">
        <v>706</v>
      </c>
      <c r="I43" s="3200"/>
      <c r="J43" s="3200" t="s">
        <v>707</v>
      </c>
      <c r="K43" s="3200"/>
      <c r="L43" s="468" t="s">
        <v>4014</v>
      </c>
      <c r="Z43" s="1773">
        <v>43</v>
      </c>
    </row>
    <row r="44" spans="1:26" s="289" customFormat="1" ht="13.35" customHeight="1">
      <c r="A44" s="1711"/>
      <c r="B44" s="289" t="s">
        <v>2591</v>
      </c>
      <c r="D44" s="291"/>
      <c r="F44" s="3192">
        <v>6</v>
      </c>
      <c r="G44" s="3193"/>
      <c r="H44" s="3192">
        <v>56</v>
      </c>
      <c r="I44" s="3193"/>
      <c r="J44" s="3192">
        <v>48</v>
      </c>
      <c r="K44" s="3193"/>
      <c r="L44" s="464" t="s">
        <v>1235</v>
      </c>
      <c r="N44" s="3194" t="s">
        <v>1236</v>
      </c>
      <c r="O44" s="3194"/>
      <c r="P44" s="3194"/>
      <c r="Z44" s="1773">
        <v>44</v>
      </c>
    </row>
    <row r="45" spans="1:26" s="289" customFormat="1" ht="12.75" customHeight="1">
      <c r="A45" s="1711"/>
      <c r="B45" s="2621" t="s">
        <v>708</v>
      </c>
      <c r="F45" s="3203"/>
      <c r="G45" s="3204"/>
      <c r="H45" s="3203"/>
      <c r="I45" s="3204"/>
      <c r="J45" s="3203"/>
      <c r="K45" s="3204"/>
      <c r="L45" s="464" t="s">
        <v>2590</v>
      </c>
      <c r="N45" s="3205" t="s">
        <v>2589</v>
      </c>
      <c r="O45" s="3205"/>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13" t="s">
        <v>6863</v>
      </c>
      <c r="G47" s="3214"/>
      <c r="H47" s="3214"/>
      <c r="I47" s="3215"/>
      <c r="J47" s="3214"/>
      <c r="K47" s="3216"/>
      <c r="L47" s="771" t="s">
        <v>2553</v>
      </c>
      <c r="M47" s="3174" t="s">
        <v>6864</v>
      </c>
      <c r="N47" s="3172"/>
      <c r="O47" s="3172"/>
      <c r="P47" s="3175"/>
      <c r="Z47" s="1773">
        <v>47</v>
      </c>
    </row>
    <row r="48" spans="1:26" s="289" customFormat="1" ht="13.35" customHeight="1">
      <c r="A48" s="1711"/>
      <c r="B48" s="289" t="s">
        <v>608</v>
      </c>
      <c r="F48" s="3217" t="s">
        <v>6865</v>
      </c>
      <c r="G48" s="3218"/>
      <c r="H48" s="3219"/>
      <c r="I48" s="916" t="s">
        <v>1890</v>
      </c>
      <c r="J48" s="3167" t="s">
        <v>6866</v>
      </c>
      <c r="K48" s="3169"/>
      <c r="L48" s="771"/>
      <c r="Z48" s="1773">
        <v>48</v>
      </c>
    </row>
    <row r="49" spans="1:26" s="289" customFormat="1" ht="13.35" customHeight="1">
      <c r="A49" s="1711"/>
      <c r="B49" s="289" t="s">
        <v>1891</v>
      </c>
      <c r="F49" s="3220" t="s">
        <v>6867</v>
      </c>
      <c r="G49" s="3221"/>
      <c r="H49" s="3222"/>
      <c r="I49" s="3214"/>
      <c r="J49" s="3221"/>
      <c r="K49" s="3223"/>
      <c r="L49" s="2622" t="s">
        <v>588</v>
      </c>
      <c r="M49" s="3224" t="s">
        <v>2070</v>
      </c>
      <c r="N49" s="3225"/>
      <c r="O49" s="3225"/>
      <c r="P49" s="3226"/>
      <c r="Z49" s="1773">
        <v>49</v>
      </c>
    </row>
    <row r="50" spans="1:26" s="289" customFormat="1" ht="13.35" customHeight="1">
      <c r="A50" s="1711"/>
      <c r="B50" s="2620" t="s">
        <v>2128</v>
      </c>
      <c r="F50" s="3228">
        <v>300754537</v>
      </c>
      <c r="G50" s="3229"/>
      <c r="H50" s="2623" t="s">
        <v>1892</v>
      </c>
      <c r="I50" s="3230">
        <v>7705946288</v>
      </c>
      <c r="J50" s="3231"/>
      <c r="K50" s="3232"/>
      <c r="L50" s="2621" t="s">
        <v>1718</v>
      </c>
      <c r="M50" s="3233" t="s">
        <v>6868</v>
      </c>
      <c r="N50" s="3234"/>
      <c r="O50" s="3234"/>
      <c r="P50" s="3235"/>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95</v>
      </c>
      <c r="K55" s="2621"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95</v>
      </c>
      <c r="I62" s="575">
        <f>'Part VI-Revenues &amp; Expenses'!$P$100</f>
        <v>95</v>
      </c>
      <c r="J62" s="1711"/>
      <c r="K62" s="297" t="s">
        <v>2600</v>
      </c>
      <c r="M62" s="2628"/>
      <c r="N62" s="2628"/>
      <c r="O62" s="2628"/>
      <c r="P62" s="750">
        <f>'Part VI-Revenues &amp; Expenses'!P164</f>
        <v>75200</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95</v>
      </c>
      <c r="J64" s="1711"/>
      <c r="K64" s="297" t="s">
        <v>2602</v>
      </c>
      <c r="M64" s="2628"/>
      <c r="N64" s="2628"/>
      <c r="O64" s="2628"/>
      <c r="P64" s="1747">
        <f>P62+P63</f>
        <v>75200</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95</v>
      </c>
      <c r="J66" s="2628"/>
      <c r="K66" s="297" t="s">
        <v>1369</v>
      </c>
      <c r="M66" s="2628"/>
      <c r="N66" s="2628"/>
      <c r="O66" s="2628"/>
      <c r="P66" s="311">
        <f>+P64+P65</f>
        <v>75200</v>
      </c>
      <c r="Z66" s="1773">
        <v>66</v>
      </c>
    </row>
    <row r="67" spans="1:26" s="289" customFormat="1" ht="3" customHeight="1">
      <c r="A67" s="1711"/>
      <c r="I67" s="2629"/>
      <c r="L67" s="2629"/>
      <c r="M67" s="2629"/>
      <c r="N67" s="2628"/>
      <c r="P67" s="298"/>
      <c r="Z67" s="1773">
        <v>67</v>
      </c>
    </row>
    <row r="68" spans="1:26" s="289" customFormat="1" ht="11.25" customHeight="1">
      <c r="A68" s="1711"/>
      <c r="H68" s="2623" t="s">
        <v>3440</v>
      </c>
      <c r="I68" s="2623" t="s">
        <v>2543</v>
      </c>
      <c r="L68" s="2629"/>
      <c r="M68" s="2629"/>
      <c r="N68" s="2628"/>
      <c r="P68" s="298"/>
      <c r="Z68" s="1773">
        <v>68</v>
      </c>
    </row>
    <row r="69" spans="1:26" s="289" customFormat="1" ht="13.35" customHeight="1">
      <c r="A69" s="1711"/>
      <c r="B69" s="1711" t="s">
        <v>1656</v>
      </c>
      <c r="C69" s="299" t="s">
        <v>2194</v>
      </c>
      <c r="D69" s="312" t="s">
        <v>1906</v>
      </c>
      <c r="G69" s="2628"/>
      <c r="H69" s="2685">
        <v>3</v>
      </c>
      <c r="I69" s="2685">
        <v>6</v>
      </c>
      <c r="K69" s="297" t="s">
        <v>4069</v>
      </c>
      <c r="O69" s="2628"/>
      <c r="P69" s="2686">
        <v>2950</v>
      </c>
      <c r="Z69" s="1773">
        <v>69</v>
      </c>
    </row>
    <row r="70" spans="1:26" s="289" customFormat="1" ht="13.35" customHeight="1">
      <c r="A70" s="1711"/>
      <c r="B70" s="1711"/>
      <c r="D70" s="2619" t="s">
        <v>1907</v>
      </c>
      <c r="H70" s="2687">
        <v>0</v>
      </c>
      <c r="I70" s="2687">
        <v>0</v>
      </c>
      <c r="K70" s="297" t="s">
        <v>241</v>
      </c>
      <c r="O70" s="2628"/>
      <c r="P70" s="311">
        <f>+P66+P69</f>
        <v>78150</v>
      </c>
      <c r="Z70" s="1773">
        <v>70</v>
      </c>
    </row>
    <row r="71" spans="1:26" s="289" customFormat="1" ht="13.35" customHeight="1">
      <c r="A71" s="1711"/>
      <c r="B71" s="1711"/>
      <c r="D71" s="2619" t="s">
        <v>1908</v>
      </c>
      <c r="H71" s="311">
        <f>+H69+H70</f>
        <v>3</v>
      </c>
      <c r="I71" s="311">
        <f>+I69+I70</f>
        <v>6</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132</v>
      </c>
      <c r="K73" s="3227" t="s">
        <v>6775</v>
      </c>
      <c r="L73" s="3227"/>
      <c r="M73" s="3227"/>
      <c r="N73" s="3227"/>
      <c r="O73" s="3227"/>
      <c r="P73" s="3227"/>
      <c r="Z73" s="1773">
        <v>73</v>
      </c>
    </row>
    <row r="74" spans="1:26" s="289" customFormat="1" ht="6" customHeight="1">
      <c r="A74" s="1711"/>
      <c r="B74" s="1711"/>
      <c r="C74" s="297"/>
      <c r="D74" s="2628"/>
      <c r="E74" s="2628"/>
      <c r="F74" s="2628"/>
      <c r="G74" s="2629"/>
      <c r="H74" s="2628"/>
      <c r="I74" s="297"/>
      <c r="J74" s="297"/>
      <c r="K74" s="3227"/>
      <c r="L74" s="3227"/>
      <c r="M74" s="3227"/>
      <c r="N74" s="3227"/>
      <c r="O74" s="3227"/>
      <c r="P74" s="3227"/>
      <c r="Z74" s="1773">
        <v>74</v>
      </c>
    </row>
    <row r="75" spans="1:26" s="289" customFormat="1" ht="13.35" customHeight="1">
      <c r="A75" s="1711" t="s">
        <v>505</v>
      </c>
      <c r="B75" s="313" t="s">
        <v>1146</v>
      </c>
      <c r="D75" s="313"/>
      <c r="E75" s="313"/>
      <c r="F75" s="2628"/>
      <c r="G75" s="2629"/>
      <c r="H75" s="477"/>
      <c r="K75" s="3227"/>
      <c r="L75" s="3227"/>
      <c r="M75" s="3227"/>
      <c r="N75" s="3227"/>
      <c r="O75" s="3227"/>
      <c r="P75" s="3227"/>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6600</v>
      </c>
      <c r="D77" s="1298"/>
      <c r="E77" s="1739" t="s">
        <v>6601</v>
      </c>
      <c r="F77" s="2628"/>
      <c r="G77" s="2629"/>
      <c r="H77" s="3236" t="s">
        <v>2698</v>
      </c>
      <c r="I77" s="3237"/>
      <c r="J77" s="3238"/>
      <c r="K77" s="3212" t="s">
        <v>1692</v>
      </c>
      <c r="L77" s="3212"/>
      <c r="M77" s="3174"/>
      <c r="N77" s="3172"/>
      <c r="O77" s="3172"/>
      <c r="P77" s="317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6602</v>
      </c>
      <c r="K79" s="3211" t="s">
        <v>4023</v>
      </c>
      <c r="L79" s="314" t="s">
        <v>2698</v>
      </c>
      <c r="M79" s="2688"/>
      <c r="N79" s="314" t="s">
        <v>2699</v>
      </c>
      <c r="O79" s="2688"/>
      <c r="P79" s="2621" t="s">
        <v>4022</v>
      </c>
      <c r="Z79" s="1773">
        <v>79</v>
      </c>
    </row>
    <row r="80" spans="1:26" s="289" customFormat="1">
      <c r="A80" s="1711"/>
      <c r="B80" s="1711"/>
      <c r="D80" s="2620"/>
      <c r="E80" s="1298"/>
      <c r="J80" s="1296"/>
      <c r="K80" s="3211"/>
      <c r="L80" s="301" t="s">
        <v>2700</v>
      </c>
      <c r="M80" s="2687"/>
      <c r="N80" s="301" t="s">
        <v>3430</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6603</v>
      </c>
      <c r="D82" s="1298"/>
      <c r="E82" s="1739" t="s">
        <v>6604</v>
      </c>
      <c r="F82" s="2628"/>
      <c r="G82" s="2629"/>
      <c r="H82" s="3239" t="s">
        <v>2698</v>
      </c>
      <c r="I82" s="3240"/>
      <c r="J82" s="3241"/>
      <c r="K82" s="3212" t="s">
        <v>1692</v>
      </c>
      <c r="L82" s="3212"/>
      <c r="M82" s="3174"/>
      <c r="N82" s="3172"/>
      <c r="O82" s="3172"/>
      <c r="P82" s="317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211" t="s">
        <v>4023</v>
      </c>
      <c r="L84" s="314" t="s">
        <v>2698</v>
      </c>
      <c r="M84" s="2688"/>
      <c r="N84" s="314" t="s">
        <v>2699</v>
      </c>
      <c r="O84" s="2688"/>
      <c r="P84" s="2621" t="s">
        <v>4022</v>
      </c>
      <c r="Z84" s="1773">
        <v>84</v>
      </c>
    </row>
    <row r="85" spans="1:26" s="289" customFormat="1">
      <c r="A85" s="1711"/>
      <c r="B85" s="1711"/>
      <c r="D85" s="2620"/>
      <c r="E85" s="1298"/>
      <c r="J85" s="1296"/>
      <c r="K85" s="3211"/>
      <c r="L85" s="301" t="s">
        <v>2700</v>
      </c>
      <c r="M85" s="2687"/>
      <c r="N85" s="301" t="s">
        <v>3430</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5</v>
      </c>
      <c r="K87" s="3212" t="s">
        <v>495</v>
      </c>
      <c r="L87" s="3212"/>
      <c r="N87" s="1748">
        <f>IF('Part VI-Revenues &amp; Expenses'!$P$67=0,0,H87/'Part VI-Revenues &amp; Expenses'!$P$67)</f>
        <v>5.2631578947368418E-2</v>
      </c>
      <c r="O87" s="301" t="s">
        <v>3329</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0.4</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212" t="s">
        <v>495</v>
      </c>
      <c r="L90" s="3212"/>
      <c r="N90" s="1364">
        <f>IF('Part VI-Revenues &amp; Expenses'!$P$67=0,0,H90/'Part VI-Revenues &amp; Expenses'!$P$67)</f>
        <v>2.1052631578947368E-2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3989</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36" t="s">
        <v>3975</v>
      </c>
      <c r="L94" s="3237"/>
      <c r="M94" s="3238"/>
      <c r="N94" s="2628"/>
      <c r="Z94" s="1773">
        <v>94</v>
      </c>
    </row>
    <row r="95" spans="1:26" s="289" customFormat="1" ht="1.5" customHeight="1">
      <c r="A95" s="1711"/>
      <c r="B95" s="1711"/>
      <c r="D95" s="2619"/>
      <c r="F95" s="2619"/>
      <c r="G95" s="2619"/>
      <c r="H95" s="454" t="s">
        <v>4095</v>
      </c>
      <c r="L95" s="2629"/>
      <c r="M95" s="2629"/>
      <c r="Z95" s="1773">
        <v>95</v>
      </c>
    </row>
    <row r="96" spans="1:26" s="289" customFormat="1" ht="13.35" customHeight="1">
      <c r="B96" s="1711" t="s">
        <v>1895</v>
      </c>
      <c r="C96" s="291" t="s">
        <v>1473</v>
      </c>
      <c r="K96" s="2621" t="s">
        <v>4010</v>
      </c>
      <c r="N96" s="316"/>
      <c r="P96" s="2690" t="s">
        <v>6869</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3929</v>
      </c>
      <c r="P100" s="2692" t="s">
        <v>2772</v>
      </c>
      <c r="Z100" s="1773">
        <v>100</v>
      </c>
    </row>
    <row r="101" spans="1:26" s="289" customFormat="1" ht="13.35" customHeight="1">
      <c r="A101" s="315"/>
      <c r="B101" s="1711"/>
      <c r="C101" s="291"/>
      <c r="F101" s="2619" t="s">
        <v>3445</v>
      </c>
      <c r="H101" s="2693" t="s">
        <v>2772</v>
      </c>
      <c r="K101" s="2620" t="s">
        <v>6314</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6313</v>
      </c>
      <c r="D105" s="2619"/>
      <c r="H105" s="3236" t="s">
        <v>3141</v>
      </c>
      <c r="I105" s="3238"/>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58" t="s">
        <v>931</v>
      </c>
      <c r="F109" s="3159"/>
      <c r="G109" s="3159"/>
      <c r="H109" s="3159"/>
      <c r="I109" s="3159"/>
      <c r="J109" s="3159"/>
      <c r="K109" s="3159"/>
      <c r="L109" s="3160"/>
      <c r="M109" s="3206" t="s">
        <v>526</v>
      </c>
      <c r="N109" s="3206"/>
      <c r="O109" s="3207"/>
      <c r="P109" s="3208"/>
      <c r="Z109" s="1773">
        <v>109</v>
      </c>
    </row>
    <row r="110" spans="1:26" s="289" customFormat="1" ht="13.35" customHeight="1">
      <c r="C110" s="2621" t="s">
        <v>982</v>
      </c>
      <c r="D110" s="301"/>
      <c r="E110" s="3145"/>
      <c r="F110" s="3146"/>
      <c r="G110" s="3146"/>
      <c r="H110" s="3148"/>
      <c r="I110" s="3146"/>
      <c r="J110" s="3148"/>
      <c r="K110" s="3146"/>
      <c r="L110" s="3152"/>
      <c r="M110" s="3206" t="s">
        <v>775</v>
      </c>
      <c r="N110" s="3206"/>
      <c r="O110" s="3209"/>
      <c r="P110" s="3210"/>
      <c r="Z110" s="1773">
        <v>110</v>
      </c>
    </row>
    <row r="111" spans="1:26" s="289" customFormat="1" ht="13.35" customHeight="1">
      <c r="C111" s="2621" t="s">
        <v>588</v>
      </c>
      <c r="E111" s="3167"/>
      <c r="F111" s="3247"/>
      <c r="G111" s="3248"/>
      <c r="H111" s="2623" t="s">
        <v>1717</v>
      </c>
      <c r="I111" s="2694"/>
      <c r="J111" s="317" t="s">
        <v>2128</v>
      </c>
      <c r="K111" s="3259"/>
      <c r="L111" s="3260"/>
      <c r="M111" s="267" t="s">
        <v>3305</v>
      </c>
      <c r="N111" s="267"/>
      <c r="O111" s="3261"/>
      <c r="P111" s="3262"/>
      <c r="Z111" s="1773">
        <v>111</v>
      </c>
    </row>
    <row r="112" spans="1:26" s="289" customFormat="1" ht="13.35" customHeight="1">
      <c r="C112" s="289" t="s">
        <v>2099</v>
      </c>
      <c r="E112" s="3167"/>
      <c r="F112" s="3247"/>
      <c r="G112" s="3248"/>
      <c r="H112" s="846" t="s">
        <v>1890</v>
      </c>
      <c r="I112" s="3249"/>
      <c r="J112" s="3250"/>
      <c r="K112" s="3251"/>
      <c r="L112" s="2645" t="s">
        <v>1894</v>
      </c>
      <c r="M112" s="3158"/>
      <c r="N112" s="3252"/>
      <c r="O112" s="3253"/>
      <c r="P112" s="3254"/>
      <c r="Z112" s="1773">
        <v>112</v>
      </c>
    </row>
    <row r="113" spans="1:26" s="289" customFormat="1" ht="13.35" customHeight="1">
      <c r="C113" s="2621" t="s">
        <v>2098</v>
      </c>
      <c r="E113" s="3165"/>
      <c r="F113" s="3255"/>
      <c r="G113" s="3166"/>
      <c r="H113" s="846" t="s">
        <v>1719</v>
      </c>
      <c r="I113" s="3165"/>
      <c r="J113" s="3256"/>
      <c r="K113" s="2623" t="s">
        <v>2553</v>
      </c>
      <c r="L113" s="3176"/>
      <c r="M113" s="3257"/>
      <c r="N113" s="3257"/>
      <c r="O113" s="3257"/>
      <c r="P113" s="3258"/>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3</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2727390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242" t="s">
        <v>6870</v>
      </c>
      <c r="D125" s="3243"/>
      <c r="E125" s="3243"/>
      <c r="F125" s="2697" t="s">
        <v>6871</v>
      </c>
      <c r="G125" s="2698"/>
      <c r="H125" s="2699"/>
      <c r="I125" s="2700" t="s">
        <v>6876</v>
      </c>
      <c r="J125" s="3242" t="s">
        <v>6870</v>
      </c>
      <c r="K125" s="3243"/>
      <c r="L125" s="3243"/>
      <c r="M125" s="3244" t="s">
        <v>6859</v>
      </c>
      <c r="N125" s="3245"/>
      <c r="O125" s="3246"/>
      <c r="P125" s="2700" t="s">
        <v>6876</v>
      </c>
      <c r="Z125" s="1773">
        <v>125</v>
      </c>
    </row>
    <row r="126" spans="1:26" s="289" customFormat="1" ht="13.35" customHeight="1">
      <c r="A126" s="1711"/>
      <c r="B126" s="1711"/>
      <c r="C126" s="3263" t="s">
        <v>6850</v>
      </c>
      <c r="D126" s="3264"/>
      <c r="E126" s="3264"/>
      <c r="F126" s="2697" t="s">
        <v>6871</v>
      </c>
      <c r="G126" s="2698"/>
      <c r="H126" s="2699"/>
      <c r="I126" s="2700" t="s">
        <v>6876</v>
      </c>
      <c r="J126" s="3263" t="s">
        <v>6850</v>
      </c>
      <c r="K126" s="3264"/>
      <c r="L126" s="3264"/>
      <c r="M126" s="3244" t="s">
        <v>6859</v>
      </c>
      <c r="N126" s="3245"/>
      <c r="O126" s="3246"/>
      <c r="P126" s="2700" t="s">
        <v>6876</v>
      </c>
      <c r="Z126" s="1773">
        <v>126</v>
      </c>
    </row>
    <row r="127" spans="1:26" s="289" customFormat="1" ht="13.35" customHeight="1">
      <c r="A127" s="1711"/>
      <c r="B127" s="1711"/>
      <c r="C127" s="3263" t="s">
        <v>6872</v>
      </c>
      <c r="D127" s="3264"/>
      <c r="E127" s="3264"/>
      <c r="F127" s="2697" t="s">
        <v>6871</v>
      </c>
      <c r="G127" s="2698"/>
      <c r="H127" s="2699"/>
      <c r="I127" s="2700" t="s">
        <v>6876</v>
      </c>
      <c r="J127" s="3263" t="s">
        <v>6872</v>
      </c>
      <c r="K127" s="3264"/>
      <c r="L127" s="3264"/>
      <c r="M127" s="3244" t="s">
        <v>6859</v>
      </c>
      <c r="N127" s="3245"/>
      <c r="O127" s="3246"/>
      <c r="P127" s="2700" t="s">
        <v>6876</v>
      </c>
      <c r="Z127" s="1773">
        <v>127</v>
      </c>
    </row>
    <row r="128" spans="1:26" s="289" customFormat="1" ht="13.35" customHeight="1">
      <c r="A128" s="1711"/>
      <c r="B128" s="1711"/>
      <c r="C128" s="3263" t="s">
        <v>6873</v>
      </c>
      <c r="D128" s="3264"/>
      <c r="E128" s="3264"/>
      <c r="F128" s="2697" t="s">
        <v>6871</v>
      </c>
      <c r="G128" s="2698"/>
      <c r="H128" s="2699"/>
      <c r="I128" s="2700" t="s">
        <v>6876</v>
      </c>
      <c r="J128" s="3263" t="s">
        <v>375</v>
      </c>
      <c r="K128" s="3264"/>
      <c r="L128" s="3264"/>
      <c r="M128" s="3244" t="s">
        <v>6859</v>
      </c>
      <c r="N128" s="3245"/>
      <c r="O128" s="3246"/>
      <c r="P128" s="2700" t="s">
        <v>6876</v>
      </c>
      <c r="Z128" s="1773">
        <v>128</v>
      </c>
    </row>
    <row r="129" spans="1:26" s="289" customFormat="1" ht="13.35" customHeight="1">
      <c r="A129" s="1711"/>
      <c r="B129" s="1711"/>
      <c r="C129" s="3263" t="s">
        <v>531</v>
      </c>
      <c r="D129" s="3264"/>
      <c r="E129" s="3264"/>
      <c r="F129" s="2697" t="s">
        <v>6871</v>
      </c>
      <c r="G129" s="2698"/>
      <c r="H129" s="2699"/>
      <c r="I129" s="2700" t="s">
        <v>6876</v>
      </c>
      <c r="J129" s="3263">
        <v>11</v>
      </c>
      <c r="K129" s="3264"/>
      <c r="L129" s="3264"/>
      <c r="M129" s="3276"/>
      <c r="N129" s="3277"/>
      <c r="O129" s="3358"/>
      <c r="P129" s="2701"/>
      <c r="Z129" s="1773">
        <v>129</v>
      </c>
    </row>
    <row r="130" spans="1:26" s="289" customFormat="1" ht="13.35" customHeight="1">
      <c r="A130" s="1711"/>
      <c r="B130" s="1711"/>
      <c r="C130" s="3265" t="s">
        <v>6874</v>
      </c>
      <c r="D130" s="3266"/>
      <c r="E130" s="3266"/>
      <c r="F130" s="3267" t="s">
        <v>6875</v>
      </c>
      <c r="G130" s="3268"/>
      <c r="H130" s="3269"/>
      <c r="I130" s="2700" t="s">
        <v>6876</v>
      </c>
      <c r="J130" s="3265">
        <v>12</v>
      </c>
      <c r="K130" s="3266"/>
      <c r="L130" s="3266"/>
      <c r="M130" s="3267"/>
      <c r="N130" s="3268"/>
      <c r="O130" s="3269"/>
      <c r="P130" s="2702"/>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4" t="s">
        <v>1761</v>
      </c>
      <c r="D132" s="3354"/>
      <c r="E132" s="3354"/>
      <c r="F132" s="3354"/>
      <c r="G132" s="3354"/>
      <c r="H132" s="3354"/>
      <c r="I132" s="3354"/>
      <c r="J132" s="3354"/>
      <c r="K132" s="3354"/>
      <c r="L132" s="3354"/>
      <c r="M132" s="3354"/>
      <c r="N132" s="3354"/>
      <c r="O132" s="3354"/>
      <c r="P132" s="3354"/>
      <c r="Z132" s="1773">
        <v>132</v>
      </c>
    </row>
    <row r="133" spans="1:26" s="289" customFormat="1" ht="13.35" customHeight="1">
      <c r="A133" s="1711"/>
      <c r="B133" s="1711"/>
      <c r="C133" s="3354"/>
      <c r="D133" s="3354"/>
      <c r="E133" s="3354"/>
      <c r="F133" s="3354"/>
      <c r="G133" s="3354"/>
      <c r="H133" s="3354"/>
      <c r="I133" s="3354"/>
      <c r="J133" s="3354"/>
      <c r="K133" s="3354"/>
      <c r="L133" s="3354"/>
      <c r="M133" s="3354"/>
      <c r="N133" s="3354"/>
      <c r="O133" s="3354"/>
      <c r="P133" s="3354"/>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355" t="s">
        <v>6870</v>
      </c>
      <c r="D135" s="3245"/>
      <c r="E135" s="3246"/>
      <c r="F135" s="3244" t="s">
        <v>6859</v>
      </c>
      <c r="G135" s="3245"/>
      <c r="H135" s="3245"/>
      <c r="I135" s="3356"/>
      <c r="J135" s="3242">
        <v>7</v>
      </c>
      <c r="K135" s="3243"/>
      <c r="L135" s="3243"/>
      <c r="M135" s="3244"/>
      <c r="N135" s="3245"/>
      <c r="O135" s="3245"/>
      <c r="P135" s="3356"/>
      <c r="Z135" s="1773">
        <v>135</v>
      </c>
    </row>
    <row r="136" spans="1:26" s="289" customFormat="1" ht="13.35" customHeight="1">
      <c r="A136" s="1711"/>
      <c r="B136" s="1711"/>
      <c r="C136" s="3357" t="s">
        <v>6850</v>
      </c>
      <c r="D136" s="3277"/>
      <c r="E136" s="3358"/>
      <c r="F136" s="3244" t="s">
        <v>6859</v>
      </c>
      <c r="G136" s="3245"/>
      <c r="H136" s="3245"/>
      <c r="I136" s="3356"/>
      <c r="J136" s="3263">
        <v>8</v>
      </c>
      <c r="K136" s="3264"/>
      <c r="L136" s="3264"/>
      <c r="M136" s="3276"/>
      <c r="N136" s="3277"/>
      <c r="O136" s="3277"/>
      <c r="P136" s="3278"/>
      <c r="Z136" s="1773">
        <v>136</v>
      </c>
    </row>
    <row r="137" spans="1:26" s="289" customFormat="1" ht="13.35" customHeight="1">
      <c r="A137" s="1711"/>
      <c r="B137" s="1711"/>
      <c r="C137" s="3357" t="s">
        <v>6872</v>
      </c>
      <c r="D137" s="3277"/>
      <c r="E137" s="3358"/>
      <c r="F137" s="3244" t="s">
        <v>6859</v>
      </c>
      <c r="G137" s="3245"/>
      <c r="H137" s="3245"/>
      <c r="I137" s="3356"/>
      <c r="J137" s="3263">
        <v>9</v>
      </c>
      <c r="K137" s="3264"/>
      <c r="L137" s="3264"/>
      <c r="M137" s="3276"/>
      <c r="N137" s="3277"/>
      <c r="O137" s="3277"/>
      <c r="P137" s="3278"/>
      <c r="Z137" s="1773">
        <v>137</v>
      </c>
    </row>
    <row r="138" spans="1:26" s="289" customFormat="1" ht="13.35" customHeight="1">
      <c r="A138" s="1711"/>
      <c r="B138" s="1711"/>
      <c r="C138" s="3357" t="s">
        <v>375</v>
      </c>
      <c r="D138" s="3277"/>
      <c r="E138" s="3358"/>
      <c r="F138" s="3244" t="s">
        <v>6859</v>
      </c>
      <c r="G138" s="3245"/>
      <c r="H138" s="3245"/>
      <c r="I138" s="3356"/>
      <c r="J138" s="3263">
        <v>10</v>
      </c>
      <c r="K138" s="3264"/>
      <c r="L138" s="3264"/>
      <c r="M138" s="3276"/>
      <c r="N138" s="3277"/>
      <c r="O138" s="3277"/>
      <c r="P138" s="3278"/>
      <c r="Z138" s="1773">
        <v>138</v>
      </c>
    </row>
    <row r="139" spans="1:26" s="289" customFormat="1" ht="13.35" customHeight="1">
      <c r="A139" s="1711"/>
      <c r="B139" s="1711"/>
      <c r="C139" s="3263">
        <v>5</v>
      </c>
      <c r="D139" s="3264"/>
      <c r="E139" s="3264"/>
      <c r="F139" s="3276"/>
      <c r="G139" s="3277"/>
      <c r="H139" s="3277"/>
      <c r="I139" s="3278"/>
      <c r="J139" s="3263">
        <v>11</v>
      </c>
      <c r="K139" s="3264"/>
      <c r="L139" s="3264"/>
      <c r="M139" s="3276"/>
      <c r="N139" s="3277"/>
      <c r="O139" s="3277"/>
      <c r="P139" s="3278"/>
      <c r="Z139" s="1773">
        <v>139</v>
      </c>
    </row>
    <row r="140" spans="1:26" s="289" customFormat="1" ht="13.35" customHeight="1">
      <c r="A140" s="1711"/>
      <c r="B140" s="1711"/>
      <c r="C140" s="3265">
        <v>6</v>
      </c>
      <c r="D140" s="3266"/>
      <c r="E140" s="3266"/>
      <c r="F140" s="3267"/>
      <c r="G140" s="3268"/>
      <c r="H140" s="3268"/>
      <c r="I140" s="3279"/>
      <c r="J140" s="3265">
        <v>12</v>
      </c>
      <c r="K140" s="3266"/>
      <c r="L140" s="3266"/>
      <c r="M140" s="3267"/>
      <c r="N140" s="3268"/>
      <c r="O140" s="3268"/>
      <c r="P140" s="3279"/>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4026</v>
      </c>
      <c r="D142" s="299"/>
      <c r="E142" s="299"/>
      <c r="F142" s="299"/>
      <c r="I142" s="2703" t="s">
        <v>2772</v>
      </c>
      <c r="K142" s="289" t="s">
        <v>6479</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6398</v>
      </c>
      <c r="I144" s="2691"/>
      <c r="K144" s="289" t="s">
        <v>6480</v>
      </c>
      <c r="M144" s="2629"/>
      <c r="N144" s="2628"/>
      <c r="O144" s="3270"/>
      <c r="P144" s="3271"/>
      <c r="Z144" s="1773">
        <v>144</v>
      </c>
    </row>
    <row r="145" spans="1:26" s="289" customFormat="1" ht="12" customHeight="1">
      <c r="A145" s="1711"/>
      <c r="B145" s="1711"/>
      <c r="C145" s="2619" t="s">
        <v>2309</v>
      </c>
      <c r="D145" s="2619"/>
      <c r="E145" s="2619"/>
      <c r="F145" s="2629"/>
      <c r="I145" s="2704"/>
      <c r="K145" s="289" t="s">
        <v>6482</v>
      </c>
      <c r="N145" s="2628"/>
      <c r="O145" s="3272"/>
      <c r="P145" s="3273"/>
      <c r="Z145" s="1773">
        <v>145</v>
      </c>
    </row>
    <row r="146" spans="1:26" s="289" customFormat="1" ht="12" customHeight="1">
      <c r="A146" s="1711"/>
      <c r="B146" s="1711"/>
      <c r="C146" s="320" t="s">
        <v>1636</v>
      </c>
      <c r="D146" s="2621"/>
      <c r="I146" s="2680"/>
      <c r="K146" s="289" t="s">
        <v>6483</v>
      </c>
      <c r="O146" s="3274"/>
      <c r="P146" s="3275"/>
      <c r="Z146" s="1773">
        <v>146</v>
      </c>
    </row>
    <row r="147" spans="1:26" s="289" customFormat="1" ht="12" customHeight="1">
      <c r="A147" s="1711"/>
      <c r="B147" s="1711"/>
      <c r="C147" s="2619" t="s">
        <v>2310</v>
      </c>
      <c r="D147" s="2619"/>
      <c r="E147" s="1298"/>
      <c r="F147" s="2629"/>
      <c r="I147" s="2704"/>
      <c r="K147" s="267" t="s">
        <v>2143</v>
      </c>
      <c r="O147" s="3158" t="s">
        <v>464</v>
      </c>
      <c r="P147" s="3160"/>
      <c r="Z147" s="1773">
        <v>147</v>
      </c>
    </row>
    <row r="148" spans="1:26" s="289" customFormat="1" ht="12" customHeight="1">
      <c r="A148" s="1711"/>
      <c r="B148" s="1711"/>
      <c r="C148" s="2619" t="s">
        <v>2308</v>
      </c>
      <c r="F148" s="2629" t="s">
        <v>6396</v>
      </c>
      <c r="G148" s="3280"/>
      <c r="H148" s="3281"/>
      <c r="I148" s="2705"/>
      <c r="K148" s="267" t="s">
        <v>2144</v>
      </c>
      <c r="O148" s="3170" t="s">
        <v>464</v>
      </c>
      <c r="P148" s="3149"/>
      <c r="Z148" s="1773">
        <v>148</v>
      </c>
    </row>
    <row r="149" spans="1:26" s="289" customFormat="1" ht="12" customHeight="1">
      <c r="A149" s="1711"/>
      <c r="B149" s="1711"/>
      <c r="C149" s="2619" t="s">
        <v>2071</v>
      </c>
      <c r="D149" s="2619"/>
      <c r="E149" s="2619"/>
      <c r="F149" s="2629"/>
      <c r="I149" s="3345"/>
      <c r="J149" s="3346"/>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6481</v>
      </c>
      <c r="I151" s="2691"/>
      <c r="K151" s="289" t="s">
        <v>6480</v>
      </c>
      <c r="M151" s="2629"/>
      <c r="N151" s="2628"/>
      <c r="O151" s="3270"/>
      <c r="P151" s="3271"/>
      <c r="Z151" s="1773">
        <v>151</v>
      </c>
    </row>
    <row r="152" spans="1:26" s="289" customFormat="1" ht="12" customHeight="1">
      <c r="A152" s="1711"/>
      <c r="B152" s="1711"/>
      <c r="C152" s="2619" t="s">
        <v>6397</v>
      </c>
      <c r="D152" s="2619"/>
      <c r="E152" s="2619"/>
      <c r="F152" s="2629"/>
      <c r="I152" s="2704"/>
      <c r="K152" s="289" t="s">
        <v>6482</v>
      </c>
      <c r="N152" s="2628"/>
      <c r="O152" s="3272"/>
      <c r="P152" s="3273"/>
      <c r="Z152" s="1773">
        <v>152</v>
      </c>
    </row>
    <row r="153" spans="1:26" s="289" customFormat="1" ht="12" customHeight="1">
      <c r="A153" s="1711"/>
      <c r="B153" s="1711"/>
      <c r="C153" s="320" t="s">
        <v>1636</v>
      </c>
      <c r="D153" s="2621"/>
      <c r="I153" s="2680"/>
      <c r="K153" s="289" t="s">
        <v>6483</v>
      </c>
      <c r="O153" s="3274"/>
      <c r="P153" s="3275"/>
      <c r="Z153" s="1773">
        <v>153</v>
      </c>
    </row>
    <row r="154" spans="1:26" s="289" customFormat="1" ht="12" customHeight="1">
      <c r="A154" s="1711"/>
      <c r="B154" s="1711"/>
      <c r="C154" s="2619" t="s">
        <v>2310</v>
      </c>
      <c r="D154" s="2619"/>
      <c r="E154" s="1298"/>
      <c r="F154" s="2629"/>
      <c r="I154" s="2704"/>
      <c r="K154" s="267" t="s">
        <v>2143</v>
      </c>
      <c r="O154" s="3158" t="s">
        <v>464</v>
      </c>
      <c r="P154" s="3160"/>
      <c r="Z154" s="1773">
        <v>154</v>
      </c>
    </row>
    <row r="155" spans="1:26" s="289" customFormat="1" ht="12" customHeight="1">
      <c r="A155" s="1711"/>
      <c r="B155" s="1711"/>
      <c r="C155" s="2619" t="s">
        <v>2308</v>
      </c>
      <c r="F155" s="2629" t="s">
        <v>6396</v>
      </c>
      <c r="G155" s="3280"/>
      <c r="H155" s="3281"/>
      <c r="I155" s="2705"/>
      <c r="K155" s="267" t="s">
        <v>2144</v>
      </c>
      <c r="O155" s="3170" t="s">
        <v>464</v>
      </c>
      <c r="P155" s="3149"/>
      <c r="Z155" s="1773">
        <v>155</v>
      </c>
    </row>
    <row r="156" spans="1:26" s="289" customFormat="1" ht="12" customHeight="1">
      <c r="A156" s="1711"/>
      <c r="B156" s="1711"/>
      <c r="C156" s="2619" t="s">
        <v>2071</v>
      </c>
      <c r="D156" s="2619"/>
      <c r="E156" s="2619"/>
      <c r="F156" s="2629"/>
      <c r="I156" s="3345"/>
      <c r="J156" s="3346"/>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4084</v>
      </c>
      <c r="F158" s="312"/>
      <c r="G158" s="312"/>
      <c r="I158" s="2706"/>
      <c r="K158" s="312" t="s">
        <v>4086</v>
      </c>
      <c r="L158" s="312"/>
      <c r="M158" s="312"/>
      <c r="O158" s="2707"/>
      <c r="P158" s="298"/>
      <c r="Z158" s="1773">
        <v>158</v>
      </c>
    </row>
    <row r="159" spans="1:26" s="289" customFormat="1" ht="12" customHeight="1">
      <c r="A159" s="1711"/>
      <c r="C159" s="1298"/>
      <c r="D159" s="2619"/>
      <c r="E159" s="312" t="s">
        <v>4085</v>
      </c>
      <c r="F159" s="312"/>
      <c r="G159" s="312"/>
      <c r="I159" s="2708"/>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4083</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321"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321"/>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321"/>
      <c r="Z165" s="1773">
        <v>165</v>
      </c>
    </row>
    <row r="166" spans="1:26" s="289" customFormat="1" ht="12.6" customHeight="1">
      <c r="A166" s="1711"/>
      <c r="B166" s="1711"/>
      <c r="C166" s="312" t="s">
        <v>1466</v>
      </c>
      <c r="D166" s="305"/>
      <c r="E166" s="305"/>
      <c r="F166" s="2629"/>
      <c r="G166" s="2629"/>
      <c r="H166" s="2629"/>
      <c r="I166" s="2707" t="s">
        <v>2769</v>
      </c>
      <c r="N166" s="2628"/>
      <c r="O166" s="2628"/>
      <c r="P166" s="3322"/>
      <c r="Z166" s="1773">
        <v>166</v>
      </c>
    </row>
    <row r="167" spans="1:26" s="289" customFormat="1" ht="12.6" customHeight="1">
      <c r="A167" s="1711"/>
      <c r="B167" s="1711"/>
      <c r="C167" s="469" t="s">
        <v>6302</v>
      </c>
      <c r="D167" s="842"/>
      <c r="E167" s="842"/>
      <c r="F167" s="842"/>
      <c r="I167" s="289" t="s">
        <v>3962</v>
      </c>
      <c r="K167" s="469"/>
      <c r="L167" s="469"/>
      <c r="N167" s="2688">
        <v>95</v>
      </c>
      <c r="P167" s="1257">
        <f>IF('Part VI-Revenues &amp; Expenses'!$P$65=0,0,N167/'Part VI-Revenues &amp; Expenses'!$P$65)</f>
        <v>1</v>
      </c>
      <c r="Z167" s="1773">
        <v>167</v>
      </c>
    </row>
    <row r="168" spans="1:26" s="289" customFormat="1" ht="12.6" customHeight="1">
      <c r="A168" s="1711"/>
      <c r="B168" s="1711"/>
      <c r="D168" s="842"/>
      <c r="E168" s="842"/>
      <c r="F168" s="842"/>
      <c r="I168" s="289" t="s">
        <v>3961</v>
      </c>
      <c r="K168" s="469"/>
      <c r="L168" s="469"/>
      <c r="N168" s="2709">
        <v>95</v>
      </c>
      <c r="P168" s="1258">
        <f>IF('Part VI-Revenues &amp; Expenses'!$P$65=0,0,N168/'Part VI-Revenues &amp; Expenses'!$P$65)</f>
        <v>1</v>
      </c>
      <c r="Z168" s="1773">
        <v>168</v>
      </c>
    </row>
    <row r="169" spans="1:26" s="289" customFormat="1" ht="12" customHeight="1">
      <c r="A169" s="1711"/>
      <c r="B169" s="1711"/>
      <c r="C169" s="312" t="s">
        <v>6303</v>
      </c>
      <c r="D169" s="305"/>
      <c r="E169" s="305"/>
      <c r="F169" s="2629"/>
      <c r="G169" s="2629"/>
      <c r="H169" s="2629"/>
      <c r="I169" s="2707" t="s">
        <v>2769</v>
      </c>
      <c r="J169" s="2621"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58" t="s">
        <v>375</v>
      </c>
      <c r="E171" s="3159"/>
      <c r="F171" s="3159"/>
      <c r="G171" s="3159"/>
      <c r="H171" s="3160"/>
      <c r="I171" s="2621" t="s">
        <v>3927</v>
      </c>
      <c r="N171" s="3150">
        <v>7709936226</v>
      </c>
      <c r="O171" s="3359"/>
      <c r="P171" s="3151"/>
      <c r="Z171" s="1773">
        <v>171</v>
      </c>
    </row>
    <row r="172" spans="1:26" s="289" customFormat="1" ht="12.6" customHeight="1">
      <c r="A172" s="1711"/>
      <c r="B172" s="1711"/>
      <c r="C172" s="2621" t="s">
        <v>3928</v>
      </c>
      <c r="D172" s="3167" t="s">
        <v>6877</v>
      </c>
      <c r="E172" s="3168"/>
      <c r="F172" s="3146"/>
      <c r="G172" s="3168"/>
      <c r="H172" s="3169"/>
      <c r="I172" s="2627" t="s">
        <v>1716</v>
      </c>
      <c r="J172" s="3158" t="s">
        <v>6878</v>
      </c>
      <c r="K172" s="3159"/>
      <c r="L172" s="3160"/>
      <c r="M172" s="1247" t="s">
        <v>1890</v>
      </c>
      <c r="N172" s="3167" t="s">
        <v>6879</v>
      </c>
      <c r="O172" s="3168"/>
      <c r="P172" s="3169"/>
      <c r="Z172" s="1773">
        <v>172</v>
      </c>
    </row>
    <row r="173" spans="1:26" s="289" customFormat="1" ht="12.6" customHeight="1">
      <c r="A173" s="1711"/>
      <c r="B173" s="1711"/>
      <c r="C173" s="2621" t="s">
        <v>588</v>
      </c>
      <c r="D173" s="3167" t="s">
        <v>2070</v>
      </c>
      <c r="E173" s="3169"/>
      <c r="F173" s="1245" t="s">
        <v>2128</v>
      </c>
      <c r="G173" s="3363">
        <v>300756500</v>
      </c>
      <c r="H173" s="3364"/>
      <c r="I173" s="321" t="s">
        <v>1719</v>
      </c>
      <c r="J173" s="3360">
        <v>7705361294</v>
      </c>
      <c r="K173" s="3361"/>
      <c r="L173" s="3362"/>
      <c r="M173" s="1246" t="s">
        <v>1889</v>
      </c>
      <c r="N173" s="3360">
        <v>4044317189</v>
      </c>
      <c r="O173" s="3361"/>
      <c r="P173" s="3362"/>
      <c r="Z173" s="1773">
        <v>173</v>
      </c>
    </row>
    <row r="174" spans="1:26" s="289" customFormat="1" ht="12.6" customHeight="1">
      <c r="A174" s="1711"/>
      <c r="B174" s="1711"/>
      <c r="C174" s="289" t="s">
        <v>2553</v>
      </c>
      <c r="D174" s="3171" t="s">
        <v>6880</v>
      </c>
      <c r="E174" s="3147"/>
      <c r="F174" s="3147"/>
      <c r="G174" s="3147"/>
      <c r="H174" s="3173"/>
      <c r="I174" s="321" t="s">
        <v>1718</v>
      </c>
      <c r="J174" s="3367" t="s">
        <v>6881</v>
      </c>
      <c r="K174" s="3257"/>
      <c r="L174" s="3257"/>
      <c r="M174" s="3257"/>
      <c r="N174" s="3257"/>
      <c r="O174" s="3257"/>
      <c r="P174" s="3258"/>
      <c r="Z174" s="1773">
        <v>174</v>
      </c>
    </row>
    <row r="175" spans="1:26" s="289" customFormat="1" ht="12" customHeight="1">
      <c r="A175" s="1711"/>
      <c r="B175" s="1711"/>
      <c r="C175" s="289" t="s">
        <v>3963</v>
      </c>
      <c r="E175" s="322"/>
      <c r="F175" s="322"/>
      <c r="G175" s="322"/>
      <c r="H175" s="2629"/>
      <c r="I175" s="2707" t="s">
        <v>2769</v>
      </c>
      <c r="J175" s="3365" t="s">
        <v>731</v>
      </c>
      <c r="K175" s="3348"/>
      <c r="L175" s="2695">
        <v>2035</v>
      </c>
      <c r="M175" s="322"/>
      <c r="N175" s="2629"/>
      <c r="O175" s="322"/>
      <c r="P175" s="322"/>
      <c r="Z175" s="1773">
        <v>175</v>
      </c>
    </row>
    <row r="176" spans="1:26" s="289" customFormat="1" ht="12" customHeight="1">
      <c r="A176" s="1711"/>
      <c r="B176" s="1711"/>
      <c r="C176" s="3366" t="s">
        <v>6522</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7" t="s">
        <v>2772</v>
      </c>
      <c r="M177" s="842"/>
      <c r="N177" s="3347" t="s">
        <v>731</v>
      </c>
      <c r="O177" s="3348"/>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352" t="s">
        <v>731</v>
      </c>
      <c r="K179" s="3353"/>
      <c r="L179" s="2692"/>
      <c r="M179" s="3349" t="s">
        <v>2222</v>
      </c>
      <c r="N179" s="3350"/>
      <c r="O179" s="3351"/>
      <c r="P179" s="2710"/>
      <c r="Z179" s="1773">
        <v>179</v>
      </c>
    </row>
    <row r="180" spans="1:26" s="289" customFormat="1" ht="12.6" customHeight="1">
      <c r="A180" s="1711"/>
      <c r="B180" s="1711"/>
      <c r="C180" s="1662" t="s">
        <v>2552</v>
      </c>
      <c r="D180" s="1662"/>
      <c r="E180" s="1662"/>
      <c r="F180" s="1662"/>
      <c r="G180" s="1662"/>
      <c r="I180" s="2693" t="s">
        <v>2772</v>
      </c>
      <c r="J180" s="3352" t="s">
        <v>731</v>
      </c>
      <c r="K180" s="3353"/>
      <c r="L180" s="2693"/>
      <c r="M180" s="3349" t="s">
        <v>2222</v>
      </c>
      <c r="N180" s="3350"/>
      <c r="O180" s="3351"/>
      <c r="P180" s="2711"/>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12" t="s">
        <v>6797</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3" t="s">
        <v>1896</v>
      </c>
      <c r="D185" s="267" t="s">
        <v>6487</v>
      </c>
      <c r="E185" s="307"/>
      <c r="F185" s="1613"/>
      <c r="G185" s="1613"/>
      <c r="H185" s="1613"/>
      <c r="I185" s="481"/>
      <c r="J185" s="481"/>
      <c r="K185" s="481"/>
      <c r="L185" s="2714" t="s">
        <v>2769</v>
      </c>
      <c r="M185" s="267" t="s">
        <v>6488</v>
      </c>
      <c r="N185" s="1613"/>
      <c r="O185" s="3341">
        <v>44181</v>
      </c>
      <c r="P185" s="3342"/>
      <c r="Z185" s="1773">
        <v>185</v>
      </c>
    </row>
    <row r="186" spans="1:26" s="27" customFormat="1" ht="12" customHeight="1">
      <c r="B186" s="325"/>
      <c r="C186" s="2713" t="s">
        <v>1898</v>
      </c>
      <c r="D186" s="267" t="s">
        <v>6616</v>
      </c>
      <c r="E186" s="307"/>
      <c r="F186" s="1613"/>
      <c r="G186" s="1613"/>
      <c r="H186" s="1613"/>
      <c r="I186" s="481"/>
      <c r="J186" s="481"/>
      <c r="K186" s="481"/>
      <c r="L186" s="2715"/>
      <c r="M186" s="267" t="s">
        <v>6488</v>
      </c>
      <c r="N186" s="1613"/>
      <c r="O186" s="3343"/>
      <c r="P186" s="3344"/>
      <c r="Z186" s="1773">
        <v>186</v>
      </c>
    </row>
    <row r="187" spans="1:26" s="27" customFormat="1" ht="12" customHeight="1">
      <c r="B187" s="325"/>
      <c r="C187" s="2713" t="s">
        <v>2416</v>
      </c>
      <c r="D187" s="267" t="s">
        <v>6489</v>
      </c>
      <c r="E187" s="307"/>
      <c r="F187" s="1613"/>
      <c r="G187" s="1613"/>
      <c r="H187" s="1613"/>
      <c r="I187" s="481"/>
      <c r="J187" s="481"/>
      <c r="K187" s="481"/>
      <c r="L187" s="2716" t="s">
        <v>2769</v>
      </c>
      <c r="M187" s="267" t="s">
        <v>6488</v>
      </c>
      <c r="N187" s="1613"/>
      <c r="O187" s="3282">
        <v>44337</v>
      </c>
      <c r="P187" s="3283"/>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12" t="s">
        <v>6800</v>
      </c>
      <c r="D189" s="1613"/>
      <c r="E189" s="1613"/>
      <c r="F189" s="1613"/>
      <c r="G189" s="1613"/>
      <c r="H189" s="3284">
        <f>IF(AND(O185="",O186="",O187=""),"",MIN(O185:P187))</f>
        <v>44181</v>
      </c>
      <c r="I189" s="3285"/>
      <c r="J189" s="307"/>
      <c r="K189" s="1613"/>
      <c r="L189" s="307"/>
      <c r="M189" s="307"/>
      <c r="N189" s="307"/>
      <c r="O189" s="307"/>
      <c r="P189" s="307"/>
      <c r="Z189" s="1773">
        <v>189</v>
      </c>
    </row>
    <row r="190" spans="1:26" s="27" customFormat="1" ht="3.75" customHeight="1">
      <c r="A190" s="2717"/>
      <c r="B190" s="267"/>
      <c r="C190" s="267"/>
      <c r="D190" s="267"/>
      <c r="E190" s="267"/>
      <c r="F190" s="267"/>
      <c r="G190" s="267"/>
      <c r="H190" s="267"/>
      <c r="I190" s="267"/>
      <c r="J190" s="267"/>
      <c r="K190" s="267"/>
      <c r="L190" s="267"/>
      <c r="M190" s="267"/>
      <c r="N190" s="2718"/>
      <c r="O190" s="2718"/>
      <c r="P190" s="2719"/>
      <c r="Z190" s="1773">
        <v>190</v>
      </c>
    </row>
    <row r="191" spans="1:26" s="27" customFormat="1" ht="12.75" customHeight="1">
      <c r="A191" s="2720"/>
      <c r="B191" s="2721"/>
      <c r="C191" s="2722" t="s">
        <v>6788</v>
      </c>
      <c r="D191" s="2723"/>
      <c r="E191" s="2723"/>
      <c r="F191" s="2723"/>
      <c r="G191" s="307"/>
      <c r="H191" s="3314" t="s">
        <v>6802</v>
      </c>
      <c r="I191" s="3315"/>
      <c r="J191" s="3302" t="s">
        <v>6787</v>
      </c>
      <c r="K191" s="3303"/>
      <c r="L191" s="3295" t="s">
        <v>6786</v>
      </c>
      <c r="M191" s="3295"/>
      <c r="N191" s="3295"/>
      <c r="O191" s="3295"/>
      <c r="P191" s="3295"/>
      <c r="Z191" s="1773">
        <v>191</v>
      </c>
    </row>
    <row r="192" spans="1:26" s="27" customFormat="1">
      <c r="A192" s="2720"/>
      <c r="B192" s="166"/>
      <c r="C192" s="2724" t="s">
        <v>6798</v>
      </c>
      <c r="D192" s="2725"/>
      <c r="E192" s="2725"/>
      <c r="F192" s="2726" t="s">
        <v>6780</v>
      </c>
      <c r="G192" s="2726" t="s">
        <v>6781</v>
      </c>
      <c r="H192" s="2727">
        <f>IF($H$189="","",$H$189)</f>
        <v>44181</v>
      </c>
      <c r="I192" s="2728" t="s">
        <v>6782</v>
      </c>
      <c r="J192" s="3304"/>
      <c r="K192" s="3305"/>
      <c r="L192" s="3296"/>
      <c r="M192" s="3296"/>
      <c r="N192" s="3296"/>
      <c r="O192" s="3296"/>
      <c r="P192" s="3296"/>
      <c r="R192" s="307"/>
      <c r="S192" s="307"/>
      <c r="T192" s="307"/>
      <c r="U192" s="307"/>
      <c r="V192" s="307"/>
      <c r="Z192" s="1773">
        <v>192</v>
      </c>
    </row>
    <row r="193" spans="1:26" s="27" customFormat="1" ht="12" customHeight="1">
      <c r="A193" s="2729"/>
      <c r="B193" s="325"/>
      <c r="C193" s="166" t="s">
        <v>6783</v>
      </c>
      <c r="D193" s="359"/>
      <c r="E193" s="2633"/>
      <c r="F193" s="2730"/>
      <c r="G193" s="2730"/>
      <c r="H193" s="2731"/>
      <c r="I193" s="2731"/>
      <c r="J193" s="3309"/>
      <c r="K193" s="3310"/>
      <c r="L193" s="3311"/>
      <c r="M193" s="3312"/>
      <c r="N193" s="3312"/>
      <c r="O193" s="3312"/>
      <c r="P193" s="3313"/>
      <c r="R193" s="307"/>
      <c r="S193" s="307"/>
      <c r="T193" s="307"/>
      <c r="U193" s="307"/>
      <c r="V193" s="307"/>
      <c r="Z193" s="1773">
        <v>193</v>
      </c>
    </row>
    <row r="194" spans="1:26" s="27" customFormat="1" ht="12" customHeight="1">
      <c r="A194" s="2732"/>
      <c r="B194" s="325"/>
      <c r="C194" s="166" t="s">
        <v>6784</v>
      </c>
      <c r="D194" s="359"/>
      <c r="E194" s="2633"/>
      <c r="F194" s="2733">
        <v>6</v>
      </c>
      <c r="G194" s="2733">
        <v>28</v>
      </c>
      <c r="H194" s="2734"/>
      <c r="I194" s="2734">
        <v>1</v>
      </c>
      <c r="J194" s="3300">
        <v>44891</v>
      </c>
      <c r="K194" s="3301"/>
      <c r="L194" s="3297" t="s">
        <v>6882</v>
      </c>
      <c r="M194" s="3298"/>
      <c r="N194" s="3298"/>
      <c r="O194" s="3298"/>
      <c r="P194" s="3299"/>
      <c r="R194" s="307"/>
      <c r="S194" s="307"/>
      <c r="T194" s="307"/>
      <c r="U194" s="307"/>
      <c r="V194" s="307"/>
      <c r="Z194" s="1773">
        <v>194</v>
      </c>
    </row>
    <row r="195" spans="1:26" s="27" customFormat="1" ht="12" customHeight="1">
      <c r="A195" s="2732"/>
      <c r="B195" s="325"/>
      <c r="C195" s="166" t="s">
        <v>6490</v>
      </c>
      <c r="D195" s="166"/>
      <c r="E195" s="289"/>
      <c r="F195" s="2733"/>
      <c r="G195" s="2733"/>
      <c r="H195" s="2734"/>
      <c r="I195" s="2734"/>
      <c r="J195" s="3300"/>
      <c r="K195" s="3301"/>
      <c r="L195" s="3297"/>
      <c r="M195" s="3298"/>
      <c r="N195" s="3298"/>
      <c r="O195" s="3298"/>
      <c r="P195" s="3299"/>
      <c r="R195" s="307"/>
      <c r="S195" s="307"/>
      <c r="T195" s="307"/>
      <c r="U195" s="307"/>
      <c r="V195" s="307"/>
      <c r="Z195" s="1773">
        <v>195</v>
      </c>
    </row>
    <row r="196" spans="1:26" s="27" customFormat="1" ht="12" customHeight="1">
      <c r="A196" s="2732"/>
      <c r="B196" s="325"/>
      <c r="C196" s="166" t="s">
        <v>6785</v>
      </c>
      <c r="D196" s="166"/>
      <c r="E196" s="289"/>
      <c r="F196" s="2733"/>
      <c r="G196" s="2733"/>
      <c r="H196" s="2734"/>
      <c r="I196" s="2734"/>
      <c r="J196" s="3300"/>
      <c r="K196" s="3301"/>
      <c r="L196" s="3297"/>
      <c r="M196" s="3298"/>
      <c r="N196" s="3298"/>
      <c r="O196" s="3298"/>
      <c r="P196" s="3299"/>
      <c r="R196" s="307"/>
      <c r="S196" s="307"/>
      <c r="T196" s="307"/>
      <c r="U196" s="307"/>
      <c r="V196" s="307"/>
      <c r="Z196" s="1773">
        <v>196</v>
      </c>
    </row>
    <row r="197" spans="1:26" s="27" customFormat="1" ht="12" customHeight="1">
      <c r="A197" s="2735"/>
      <c r="B197" s="325"/>
      <c r="C197" s="3306" t="s">
        <v>6799</v>
      </c>
      <c r="D197" s="3307"/>
      <c r="E197" s="3308"/>
      <c r="F197" s="2736"/>
      <c r="G197" s="2736"/>
      <c r="H197" s="2737"/>
      <c r="I197" s="2737"/>
      <c r="J197" s="3316"/>
      <c r="K197" s="3317"/>
      <c r="L197" s="3318"/>
      <c r="M197" s="3319"/>
      <c r="N197" s="3319"/>
      <c r="O197" s="3319"/>
      <c r="P197" s="3320"/>
      <c r="R197" s="307"/>
      <c r="S197" s="307"/>
      <c r="T197" s="307"/>
      <c r="U197" s="307"/>
      <c r="V197" s="307"/>
      <c r="Z197" s="1773">
        <v>197</v>
      </c>
    </row>
    <row r="198" spans="1:26" s="27" customFormat="1" ht="13.5" customHeight="1">
      <c r="A198" s="2735"/>
      <c r="B198" s="489" t="s">
        <v>6801</v>
      </c>
      <c r="C198" s="287"/>
      <c r="D198" s="287"/>
      <c r="E198" s="2738"/>
      <c r="F198" s="2739"/>
      <c r="G198" s="2740"/>
      <c r="H198" s="2741"/>
      <c r="I198" s="2742"/>
      <c r="J198" s="2743"/>
      <c r="K198" s="2743"/>
      <c r="L198" s="2743"/>
      <c r="M198" s="2743"/>
      <c r="N198" s="2744"/>
      <c r="O198" s="2744"/>
      <c r="P198" s="2745"/>
      <c r="Z198" s="1773">
        <v>198</v>
      </c>
    </row>
    <row r="199" spans="1:26" s="27" customFormat="1" ht="22.5" customHeight="1">
      <c r="A199" s="2735"/>
      <c r="B199" s="3286" t="s">
        <v>7004</v>
      </c>
      <c r="C199" s="3287"/>
      <c r="D199" s="3287"/>
      <c r="E199" s="3287"/>
      <c r="F199" s="3287"/>
      <c r="G199" s="3287"/>
      <c r="H199" s="3287"/>
      <c r="I199" s="3287"/>
      <c r="J199" s="3287"/>
      <c r="K199" s="3287"/>
      <c r="L199" s="3287"/>
      <c r="M199" s="3287"/>
      <c r="N199" s="3287"/>
      <c r="O199" s="3287"/>
      <c r="P199" s="3288"/>
      <c r="Z199" s="1773">
        <v>199</v>
      </c>
    </row>
    <row r="200" spans="1:26" s="27" customFormat="1" ht="22.5" customHeight="1">
      <c r="A200" s="2735"/>
      <c r="B200" s="3289"/>
      <c r="C200" s="3290"/>
      <c r="D200" s="3290"/>
      <c r="E200" s="3290"/>
      <c r="F200" s="3290"/>
      <c r="G200" s="3290"/>
      <c r="H200" s="3290"/>
      <c r="I200" s="3290"/>
      <c r="J200" s="3290"/>
      <c r="K200" s="3290"/>
      <c r="L200" s="3290"/>
      <c r="M200" s="3290"/>
      <c r="N200" s="3290"/>
      <c r="O200" s="3290"/>
      <c r="P200" s="3291"/>
      <c r="Z200" s="1773">
        <v>200</v>
      </c>
    </row>
    <row r="201" spans="1:26" s="27" customFormat="1" ht="22.5" customHeight="1">
      <c r="A201" s="2746"/>
      <c r="B201" s="3292"/>
      <c r="C201" s="3293"/>
      <c r="D201" s="3293"/>
      <c r="E201" s="3293"/>
      <c r="F201" s="3293"/>
      <c r="G201" s="3293"/>
      <c r="H201" s="3293"/>
      <c r="I201" s="3293"/>
      <c r="J201" s="3293"/>
      <c r="K201" s="3293"/>
      <c r="L201" s="3293"/>
      <c r="M201" s="3293"/>
      <c r="N201" s="3293"/>
      <c r="O201" s="3293"/>
      <c r="P201" s="3294"/>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7" t="s">
        <v>2772</v>
      </c>
      <c r="L204" s="2628" t="s">
        <v>1544</v>
      </c>
      <c r="M204" s="2628"/>
      <c r="N204" s="2628"/>
      <c r="P204" s="2747" t="s">
        <v>2772</v>
      </c>
      <c r="Z204" s="1773">
        <v>204</v>
      </c>
    </row>
    <row r="205" spans="1:26" s="289" customFormat="1" ht="12.6" customHeight="1">
      <c r="A205" s="1711"/>
      <c r="B205" s="1711"/>
      <c r="C205" s="2628" t="s">
        <v>2112</v>
      </c>
      <c r="I205" s="2747" t="s">
        <v>2772</v>
      </c>
      <c r="L205" s="2628" t="s">
        <v>6544</v>
      </c>
      <c r="M205" s="2628"/>
      <c r="N205" s="2628"/>
      <c r="P205" s="2705" t="s">
        <v>2772</v>
      </c>
      <c r="Z205" s="1773">
        <v>205</v>
      </c>
    </row>
    <row r="206" spans="1:26" s="289" customFormat="1" ht="12.6" customHeight="1">
      <c r="A206" s="1711"/>
      <c r="C206" s="2628" t="s">
        <v>2567</v>
      </c>
      <c r="I206" s="2747" t="s">
        <v>2772</v>
      </c>
      <c r="L206" s="2628" t="s">
        <v>2541</v>
      </c>
      <c r="N206" s="3323"/>
      <c r="O206" s="3324"/>
      <c r="P206" s="2705" t="s">
        <v>2772</v>
      </c>
      <c r="Z206" s="1773">
        <v>206</v>
      </c>
    </row>
    <row r="207" spans="1:26" s="289" customFormat="1" ht="12.6" customHeight="1">
      <c r="A207" s="1711"/>
      <c r="B207" s="1711"/>
      <c r="C207" s="2628" t="s">
        <v>1237</v>
      </c>
      <c r="D207" s="324"/>
      <c r="I207" s="2747" t="s">
        <v>2772</v>
      </c>
      <c r="K207" s="299"/>
      <c r="L207" s="2628" t="s">
        <v>3207</v>
      </c>
      <c r="M207" s="2628"/>
      <c r="N207" s="2628"/>
      <c r="P207" s="2705" t="s">
        <v>2772</v>
      </c>
      <c r="Z207" s="1773">
        <v>207</v>
      </c>
    </row>
    <row r="208" spans="1:26" s="289" customFormat="1" ht="12.6" customHeight="1">
      <c r="A208" s="1711"/>
      <c r="B208" s="291"/>
      <c r="C208" s="2628" t="s">
        <v>4125</v>
      </c>
      <c r="I208" s="2747" t="s">
        <v>2772</v>
      </c>
      <c r="J208" s="323" t="s">
        <v>2585</v>
      </c>
      <c r="O208" s="3325"/>
      <c r="P208" s="3326"/>
      <c r="Z208" s="1773">
        <v>208</v>
      </c>
    </row>
    <row r="209" spans="1:26" s="289" customFormat="1" ht="12.6" customHeight="1">
      <c r="A209" s="1711"/>
      <c r="B209" s="291"/>
      <c r="C209" s="2628" t="s">
        <v>1723</v>
      </c>
      <c r="I209" s="2747" t="s">
        <v>2772</v>
      </c>
      <c r="J209" s="323" t="s">
        <v>2585</v>
      </c>
      <c r="O209" s="3339"/>
      <c r="P209" s="3340"/>
      <c r="Z209" s="1773">
        <v>209</v>
      </c>
    </row>
    <row r="210" spans="1:26" s="289" customFormat="1" ht="12.6" customHeight="1">
      <c r="A210" s="1711"/>
      <c r="B210" s="1711"/>
      <c r="C210" s="2628" t="s">
        <v>2690</v>
      </c>
      <c r="I210" s="2747" t="s">
        <v>2772</v>
      </c>
      <c r="J210" s="323" t="s">
        <v>2585</v>
      </c>
      <c r="O210" s="3327"/>
      <c r="P210" s="3328"/>
      <c r="Z210" s="1773">
        <v>210</v>
      </c>
    </row>
    <row r="211" spans="1:26" s="289" customFormat="1" ht="12.6" customHeight="1">
      <c r="A211" s="1711"/>
      <c r="B211" s="1711"/>
      <c r="C211" s="289" t="s">
        <v>6399</v>
      </c>
      <c r="I211" s="2747"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207"/>
      <c r="J213" s="3208"/>
      <c r="Z213" s="1773">
        <v>213</v>
      </c>
    </row>
    <row r="214" spans="1:26" s="289" customFormat="1" ht="12.6" customHeight="1">
      <c r="A214" s="1711"/>
      <c r="B214" s="1711"/>
      <c r="D214" s="2619"/>
      <c r="E214" s="2619"/>
      <c r="F214" s="2621" t="s">
        <v>265</v>
      </c>
      <c r="I214" s="3335"/>
      <c r="J214" s="3336"/>
      <c r="Z214" s="1773">
        <v>214</v>
      </c>
    </row>
    <row r="215" spans="1:26" s="289" customFormat="1" ht="12.6" customHeight="1">
      <c r="A215" s="1711"/>
      <c r="B215" s="1711"/>
      <c r="D215" s="2619"/>
      <c r="E215" s="2619"/>
      <c r="F215" s="2621" t="s">
        <v>2192</v>
      </c>
      <c r="I215" s="3337">
        <v>45350</v>
      </c>
      <c r="J215" s="3338"/>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14.75" customHeight="1">
      <c r="A218" s="3329" t="s">
        <v>7006</v>
      </c>
      <c r="B218" s="3330"/>
      <c r="C218" s="3330"/>
      <c r="D218" s="3330"/>
      <c r="E218" s="3330"/>
      <c r="F218" s="3330"/>
      <c r="G218" s="3330"/>
      <c r="H218" s="3330"/>
      <c r="I218" s="3330"/>
      <c r="J218" s="3330"/>
      <c r="K218" s="3330"/>
      <c r="L218" s="3331"/>
      <c r="M218" s="3332"/>
      <c r="N218" s="3333"/>
      <c r="O218" s="3333"/>
      <c r="P218" s="3334"/>
      <c r="Q218" s="3130" t="s">
        <v>2542</v>
      </c>
      <c r="R218" s="3130"/>
      <c r="S218" s="3130"/>
      <c r="T218" s="3130"/>
      <c r="U218" s="3130"/>
      <c r="Z218" s="1773">
        <v>218</v>
      </c>
    </row>
    <row r="219" spans="1:26" ht="12" customHeight="1">
      <c r="Q219" s="3130"/>
      <c r="R219" s="3130"/>
      <c r="S219" s="3130"/>
      <c r="T219" s="3130"/>
      <c r="U219" s="3130"/>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8"/>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8"/>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8"/>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8"/>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8"/>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8"/>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8"/>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8"/>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8"/>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8"/>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8"/>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8"/>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8"/>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8"/>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8"/>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8"/>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8"/>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8"/>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8"/>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9"/>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8"/>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8"/>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8"/>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9"/>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8"/>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8"/>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8"/>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8"/>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8"/>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8"/>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8"/>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8"/>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8"/>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8"/>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8"/>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8"/>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8"/>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50"/>
      <c r="Q272" s="2748"/>
      <c r="R272" s="939"/>
      <c r="S272" s="2751"/>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8"/>
      <c r="R273" s="939"/>
      <c r="S273" s="2751"/>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8"/>
      <c r="R274" s="939"/>
      <c r="S274" s="2751"/>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8"/>
      <c r="R275" s="939"/>
      <c r="S275" s="2751"/>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9"/>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8"/>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8"/>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50"/>
      <c r="Q280" s="2748"/>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8"/>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8"/>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8"/>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8"/>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8"/>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8"/>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8"/>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50"/>
      <c r="Q288" s="2748"/>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8"/>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8"/>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8"/>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8"/>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8"/>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8"/>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8"/>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8"/>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8"/>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8"/>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8"/>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8"/>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8"/>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8"/>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8"/>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8"/>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8"/>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8"/>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8"/>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8"/>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8"/>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8"/>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8"/>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8"/>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8"/>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8"/>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8"/>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8"/>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8"/>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8"/>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8"/>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8"/>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8"/>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8"/>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8"/>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8"/>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8"/>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8"/>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8"/>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8"/>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8"/>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50"/>
      <c r="Q330" s="2748"/>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8"/>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8"/>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8"/>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8"/>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8"/>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8"/>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8"/>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8"/>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8"/>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8"/>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8"/>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8"/>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8"/>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9"/>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8"/>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8"/>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8"/>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9"/>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8"/>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8"/>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50"/>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8"/>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8"/>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8"/>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9"/>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8"/>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50"/>
      <c r="Q359" s="2748"/>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8"/>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8"/>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8"/>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9"/>
      <c r="Q365" s="2748"/>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8"/>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8"/>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8"/>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8"/>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8"/>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8"/>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8"/>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8"/>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8"/>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8"/>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8"/>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8"/>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8"/>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8"/>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8"/>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8"/>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8"/>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50"/>
      <c r="Q383" s="2748"/>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8"/>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8"/>
      <c r="R385" s="939"/>
      <c r="S385" s="2751"/>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8"/>
      <c r="R386" s="939"/>
      <c r="S386" s="2751"/>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8"/>
      <c r="R387" s="939"/>
      <c r="S387" s="2751"/>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51"/>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50"/>
      <c r="Q389" s="937"/>
      <c r="R389" s="939"/>
      <c r="S389" s="2751"/>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51"/>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51"/>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50"/>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50"/>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50"/>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50"/>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50"/>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50"/>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50"/>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50"/>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2"/>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2"/>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2"/>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2"/>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2"/>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2"/>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51" t="s">
        <v>88</v>
      </c>
      <c r="S645" s="2751" t="s">
        <v>90</v>
      </c>
      <c r="T645" s="2751"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51" t="s">
        <v>2442</v>
      </c>
      <c r="S646" s="2751" t="s">
        <v>598</v>
      </c>
      <c r="T646" s="2753"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51" t="s">
        <v>2443</v>
      </c>
      <c r="S647" s="2751" t="s">
        <v>308</v>
      </c>
      <c r="T647" s="2753"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51" t="s">
        <v>2444</v>
      </c>
      <c r="S648" s="2751" t="s">
        <v>2371</v>
      </c>
      <c r="T648" s="2753"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51" t="s">
        <v>2445</v>
      </c>
      <c r="S649" s="2751"/>
      <c r="T649" s="2753"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51" t="s">
        <v>2446</v>
      </c>
      <c r="S650" s="2751" t="s">
        <v>1917</v>
      </c>
      <c r="T650" s="2753"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51" t="s">
        <v>2447</v>
      </c>
      <c r="S651" s="2751" t="s">
        <v>2371</v>
      </c>
      <c r="T651" s="2753"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51" t="s">
        <v>2448</v>
      </c>
      <c r="S652" s="2751" t="s">
        <v>1278</v>
      </c>
      <c r="T652" s="2753"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51" t="s">
        <v>2449</v>
      </c>
      <c r="S653" s="2751" t="s">
        <v>1919</v>
      </c>
      <c r="T653" s="2753"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51" t="s">
        <v>2450</v>
      </c>
      <c r="S654" s="2751" t="s">
        <v>636</v>
      </c>
      <c r="T654" s="2753"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51" t="s">
        <v>2451</v>
      </c>
      <c r="S655" s="2751" t="s">
        <v>598</v>
      </c>
      <c r="T655" s="2753"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51" t="s">
        <v>2452</v>
      </c>
      <c r="S656" s="2751" t="s">
        <v>2077</v>
      </c>
      <c r="T656" s="2753"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51" t="s">
        <v>2453</v>
      </c>
      <c r="S657" s="2751" t="s">
        <v>2413</v>
      </c>
      <c r="T657" s="2753"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51" t="s">
        <v>2142</v>
      </c>
      <c r="S658" s="2751" t="s">
        <v>2410</v>
      </c>
      <c r="T658" s="2753"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51" t="s">
        <v>2454</v>
      </c>
      <c r="S659" s="2751" t="s">
        <v>2077</v>
      </c>
      <c r="T659" s="2753"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51" t="s">
        <v>2455</v>
      </c>
      <c r="S660" s="2751" t="s">
        <v>2374</v>
      </c>
      <c r="T660" s="2753"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2"/>
      <c r="R661" s="2751" t="s">
        <v>2456</v>
      </c>
      <c r="S661" s="2751" t="s">
        <v>1917</v>
      </c>
      <c r="T661" s="2753"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51" t="s">
        <v>1005</v>
      </c>
      <c r="S662" s="2751" t="s">
        <v>1400</v>
      </c>
      <c r="T662" s="2753"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51" t="s">
        <v>870</v>
      </c>
      <c r="S663" s="2751" t="s">
        <v>1063</v>
      </c>
      <c r="T663" s="2753"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51" t="s">
        <v>1006</v>
      </c>
      <c r="S664" s="2751" t="s">
        <v>598</v>
      </c>
      <c r="T664" s="2753"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51" t="s">
        <v>1007</v>
      </c>
      <c r="S665" s="2751" t="s">
        <v>1822</v>
      </c>
      <c r="T665" s="2753"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51" t="s">
        <v>1008</v>
      </c>
      <c r="S666" s="2751" t="s">
        <v>1915</v>
      </c>
      <c r="T666" s="2753"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51" t="s">
        <v>1009</v>
      </c>
      <c r="S667" s="2751" t="s">
        <v>1056</v>
      </c>
      <c r="T667" s="2753"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4"/>
      <c r="R668" s="2751" t="s">
        <v>1010</v>
      </c>
      <c r="S668" s="2751" t="s">
        <v>1459</v>
      </c>
      <c r="T668" s="2753"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51" t="s">
        <v>1011</v>
      </c>
      <c r="S669" s="2751" t="s">
        <v>2371</v>
      </c>
      <c r="T669" s="2753"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51" t="s">
        <v>1012</v>
      </c>
      <c r="S670" s="2751" t="s">
        <v>151</v>
      </c>
      <c r="T670" s="2753"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51" t="s">
        <v>1013</v>
      </c>
      <c r="S671" s="2751" t="s">
        <v>1285</v>
      </c>
      <c r="T671" s="2753"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51" t="s">
        <v>1014</v>
      </c>
      <c r="S672" s="2751" t="s">
        <v>1459</v>
      </c>
      <c r="T672" s="2753"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51" t="s">
        <v>1015</v>
      </c>
      <c r="S673" s="2751" t="s">
        <v>1070</v>
      </c>
      <c r="T673" s="2753"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51" t="s">
        <v>1016</v>
      </c>
      <c r="S674" s="2751" t="s">
        <v>1915</v>
      </c>
      <c r="T674" s="2753"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3"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51" t="s">
        <v>1017</v>
      </c>
      <c r="S676" s="2751" t="s">
        <v>2374</v>
      </c>
      <c r="T676" s="2753"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51" t="s">
        <v>1541</v>
      </c>
      <c r="S677" s="2751" t="s">
        <v>2410</v>
      </c>
      <c r="T677" s="2753"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51" t="s">
        <v>1018</v>
      </c>
      <c r="S678" s="2751"/>
      <c r="T678" s="2753"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51" t="s">
        <v>176</v>
      </c>
      <c r="S679" s="2751" t="s">
        <v>151</v>
      </c>
      <c r="T679" s="2753"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51" t="s">
        <v>1019</v>
      </c>
      <c r="S680" s="2751" t="s">
        <v>167</v>
      </c>
      <c r="T680" s="2753"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51" t="s">
        <v>2182</v>
      </c>
      <c r="S681" s="2751" t="s">
        <v>1160</v>
      </c>
      <c r="T681" s="2753"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51" t="s">
        <v>1020</v>
      </c>
      <c r="S682" s="2751" t="s">
        <v>598</v>
      </c>
      <c r="T682" s="2753"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51" t="s">
        <v>1021</v>
      </c>
      <c r="S683" s="2751" t="s">
        <v>598</v>
      </c>
      <c r="T683" s="2753"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51" t="s">
        <v>1022</v>
      </c>
      <c r="S684" s="2751" t="s">
        <v>598</v>
      </c>
      <c r="T684" s="2753"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51" t="s">
        <v>1023</v>
      </c>
      <c r="S685" s="2751" t="s">
        <v>598</v>
      </c>
      <c r="T685" s="2753"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51" t="s">
        <v>1024</v>
      </c>
      <c r="S686" s="2751" t="s">
        <v>1595</v>
      </c>
      <c r="T686" s="2753"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51" t="s">
        <v>1025</v>
      </c>
      <c r="S687" s="2751" t="s">
        <v>919</v>
      </c>
      <c r="T687" s="2753"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51" t="s">
        <v>1026</v>
      </c>
      <c r="S688" s="2751" t="s">
        <v>115</v>
      </c>
      <c r="T688" s="2753"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51" t="s">
        <v>1027</v>
      </c>
      <c r="S689" s="2751" t="s">
        <v>598</v>
      </c>
      <c r="T689" s="2753"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51" t="s">
        <v>1028</v>
      </c>
      <c r="S690" s="2751" t="s">
        <v>305</v>
      </c>
      <c r="T690" s="2753"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51" t="s">
        <v>1029</v>
      </c>
      <c r="S691" s="2751" t="s">
        <v>309</v>
      </c>
      <c r="T691" s="2753"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51" t="s">
        <v>799</v>
      </c>
      <c r="S692" s="2751" t="s">
        <v>1264</v>
      </c>
      <c r="T692" s="2753"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51" t="s">
        <v>1030</v>
      </c>
      <c r="S693" s="2751" t="s">
        <v>636</v>
      </c>
      <c r="T693" s="2753"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51" t="s">
        <v>1031</v>
      </c>
      <c r="S694" s="2751" t="s">
        <v>1459</v>
      </c>
      <c r="T694" s="2753"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51" t="s">
        <v>1032</v>
      </c>
      <c r="S695" s="2751" t="s">
        <v>598</v>
      </c>
      <c r="T695" s="2753"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51" t="s">
        <v>1033</v>
      </c>
      <c r="S696" s="2751" t="s">
        <v>628</v>
      </c>
      <c r="T696" s="2753"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51" t="s">
        <v>1034</v>
      </c>
      <c r="S697" s="2751" t="s">
        <v>151</v>
      </c>
      <c r="T697" s="2753"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2"/>
      <c r="R698" s="2751" t="s">
        <v>1035</v>
      </c>
      <c r="S698" s="2751" t="s">
        <v>1822</v>
      </c>
      <c r="T698" s="2753"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51" t="s">
        <v>1036</v>
      </c>
      <c r="S699" s="2751" t="s">
        <v>1915</v>
      </c>
      <c r="T699" s="2753"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51" t="s">
        <v>1037</v>
      </c>
      <c r="S700" s="2751" t="s">
        <v>598</v>
      </c>
      <c r="T700" s="2753"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51" t="s">
        <v>1038</v>
      </c>
      <c r="S701" s="2751" t="s">
        <v>1595</v>
      </c>
      <c r="T701" s="2753"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51" t="s">
        <v>1039</v>
      </c>
      <c r="S702" s="2751" t="s">
        <v>2374</v>
      </c>
      <c r="T702" s="2753"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51" t="s">
        <v>1040</v>
      </c>
      <c r="S703" s="2751" t="s">
        <v>151</v>
      </c>
      <c r="T703" s="2753"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51" t="s">
        <v>1041</v>
      </c>
      <c r="S704" s="2751" t="s">
        <v>151</v>
      </c>
      <c r="T704" s="2753"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4"/>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2"/>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2"/>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2"/>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9o5AMI3rbY+9PZQRNdLOxQK+98Ql751Cptz26ZuKOpcP5U4Oz2SszKo/CJK/U4nvAXADibnVlC5vWLPps8ZhFQ==" saltValue="uNxWTEVI2boBsBvINM7GbA==" spinCount="100000" sheet="1" objects="1" scenarios="1" selectLockedCells="1" selectUnlockedCells="1"/>
  <mergeCells count="203">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J129:L129"/>
    <mergeCell ref="M129:O129"/>
    <mergeCell ref="C130:E130"/>
    <mergeCell ref="F130:H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J127:L127"/>
    <mergeCell ref="M127:O127"/>
    <mergeCell ref="C128:E128"/>
    <mergeCell ref="J128:L128"/>
    <mergeCell ref="M128:O128"/>
    <mergeCell ref="C126:E126"/>
    <mergeCell ref="J126:L126"/>
    <mergeCell ref="M126:O126"/>
    <mergeCell ref="K87:L87"/>
    <mergeCell ref="K90:L90"/>
    <mergeCell ref="H105:I105"/>
    <mergeCell ref="E109:L109"/>
    <mergeCell ref="K94:M94"/>
    <mergeCell ref="C125:E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2021-018  Roswell Redevelopment Phase I</v>
      </c>
      <c r="B1" s="4475"/>
      <c r="C1" s="4475"/>
      <c r="D1" s="4475"/>
      <c r="E1" s="4475"/>
      <c r="F1" s="4475"/>
      <c r="G1" s="4475"/>
      <c r="H1" s="4475"/>
    </row>
    <row r="3" spans="1:13" ht="12" customHeight="1">
      <c r="A3" s="4476" t="s">
        <v>3225</v>
      </c>
      <c r="B3" s="4476"/>
      <c r="C3" s="4476"/>
      <c r="D3" s="4476"/>
      <c r="E3" s="4476"/>
      <c r="F3" s="4476"/>
      <c r="G3" s="4476"/>
      <c r="H3" s="4476"/>
      <c r="I3" s="1097"/>
      <c r="J3" s="4478" t="s">
        <v>3610</v>
      </c>
      <c r="K3" s="4478"/>
      <c r="L3" s="735"/>
      <c r="M3" s="735"/>
    </row>
    <row r="4" spans="1:13">
      <c r="J4" s="4478"/>
      <c r="K4" s="4478"/>
    </row>
    <row r="5" spans="1:13" ht="12" customHeight="1">
      <c r="A5" s="699">
        <v>1</v>
      </c>
      <c r="C5" s="699" t="s">
        <v>2859</v>
      </c>
      <c r="E5" s="717" t="str">
        <f>'Sensitivity Analysis'!H9</f>
        <v>Oak Street I LLC</v>
      </c>
      <c r="J5" s="4478"/>
      <c r="K5" s="4478"/>
    </row>
    <row r="6" spans="1:13" ht="3" customHeight="1">
      <c r="H6" s="701"/>
      <c r="J6" s="4478"/>
      <c r="K6" s="4478"/>
    </row>
    <row r="7" spans="1:13" ht="12" customHeight="1">
      <c r="A7" s="699">
        <v>2</v>
      </c>
      <c r="C7" s="699" t="s">
        <v>2860</v>
      </c>
      <c r="E7" s="717" t="str">
        <f>'Part II-Development Team'!H7</f>
        <v>230 Wyoming Avenue</v>
      </c>
      <c r="J7" s="4478"/>
      <c r="K7" s="4478"/>
    </row>
    <row r="8" spans="1:13" ht="12" customHeight="1">
      <c r="E8" s="717" t="str">
        <f>+'Part II-Development Team'!H8&amp;","&amp;" "&amp;'Part II-Development Team'!H9&amp;" "&amp;LEFT('Part II-Development Team'!J9,5)</f>
        <v>Kingston, PA 18704</v>
      </c>
      <c r="J8" s="4478"/>
      <c r="K8" s="4478"/>
    </row>
    <row r="9" spans="1:13" ht="12" customHeight="1">
      <c r="C9" s="699" t="s">
        <v>2861</v>
      </c>
      <c r="E9" s="4477">
        <f>'Part II-Development Team'!L8</f>
        <v>0</v>
      </c>
      <c r="F9" s="4477"/>
      <c r="J9" s="4478"/>
      <c r="K9" s="4478"/>
    </row>
    <row r="10" spans="1:13" ht="12" customHeight="1">
      <c r="C10" s="699" t="s">
        <v>2862</v>
      </c>
      <c r="E10" s="717" t="str">
        <f>'Part II-Development Team'!Q6</f>
        <v>Mark H. Dambly</v>
      </c>
    </row>
    <row r="11" spans="1:13" ht="12" customHeight="1">
      <c r="C11" s="699" t="s">
        <v>3615</v>
      </c>
      <c r="E11" s="717" t="str">
        <f>'Part II-Development Team'!L10</f>
        <v>mdambly@pennrose.com</v>
      </c>
    </row>
    <row r="12" spans="1:13" ht="12" customHeight="1">
      <c r="C12" s="699" t="s">
        <v>3611</v>
      </c>
      <c r="E12" s="1098">
        <f>'Part II-Development Team'!H10</f>
        <v>2673868600</v>
      </c>
    </row>
    <row r="13" spans="1:13" ht="12" customHeight="1">
      <c r="C13" s="699" t="s">
        <v>3614</v>
      </c>
      <c r="E13" s="1098">
        <f>'Part II-Development Team'!Q8</f>
        <v>2673868668</v>
      </c>
    </row>
    <row r="14" spans="1:13" ht="3" customHeight="1"/>
    <row r="15" spans="1:13" ht="12" customHeight="1">
      <c r="A15" s="699">
        <v>3</v>
      </c>
      <c r="C15" s="699" t="s">
        <v>2863</v>
      </c>
      <c r="E15" s="717" t="str">
        <f>'Sensitivity Analysis'!C8</f>
        <v>Roswell Redevelopment Phase I</v>
      </c>
    </row>
    <row r="16" spans="1:13" ht="12" customHeight="1">
      <c r="C16" s="699" t="s">
        <v>2864</v>
      </c>
      <c r="E16" s="717" t="str">
        <f>'Part I-Project Information'!$F$36</f>
        <v>151 Oak Street</v>
      </c>
    </row>
    <row r="17" spans="1:8" ht="12" customHeight="1">
      <c r="E17" s="717" t="str">
        <f>+'Part I-Project Information'!$F$39&amp;","&amp;" GA "&amp;LEFT('Part I-Project Information'!$J$39,5)</f>
        <v>Roswell, GA 30075</v>
      </c>
    </row>
    <row r="18" spans="1:8" ht="3" customHeight="1"/>
    <row r="19" spans="1:8" ht="12" customHeight="1">
      <c r="A19" s="699">
        <v>4</v>
      </c>
      <c r="C19" s="699" t="s">
        <v>2865</v>
      </c>
      <c r="E19" s="717" t="str">
        <f>'Part II-Development Team'!H93</f>
        <v>Pennrose Management Company</v>
      </c>
    </row>
    <row r="20" spans="1:8" ht="12" customHeight="1">
      <c r="C20" s="699" t="s">
        <v>2866</v>
      </c>
      <c r="E20" s="717" t="str">
        <f>'Part II-Development Team'!H94</f>
        <v>1301 N 31st Street</v>
      </c>
    </row>
    <row r="21" spans="1:8" ht="12" customHeight="1">
      <c r="E21" s="717" t="str">
        <f>+'Part II-Development Team'!H95&amp;","&amp;" "&amp;'Part II-Development Team'!H96&amp;" "&amp;LEFT('Part II-Development Team'!L96,5)</f>
        <v>Philadelphia, PA 19121</v>
      </c>
    </row>
    <row r="22" spans="1:8" ht="12" customHeight="1">
      <c r="C22" s="699" t="s">
        <v>3611</v>
      </c>
      <c r="E22" s="1098">
        <f>'Part II-Development Team'!H97</f>
        <v>2673868600</v>
      </c>
    </row>
    <row r="23" spans="1:8" ht="12" customHeight="1">
      <c r="C23" s="699" t="s">
        <v>3614</v>
      </c>
      <c r="E23" s="1098">
        <f>'Part II-Development Team'!Q95</f>
        <v>2673868668</v>
      </c>
    </row>
    <row r="24" spans="1:8" ht="12" customHeight="1">
      <c r="C24" s="699" t="s">
        <v>3615</v>
      </c>
      <c r="E24" s="1098" t="str">
        <f>'Part II-Development Team'!L97</f>
        <v>mdambly@pennrose.com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3983100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228</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Pennrose Holdings LLC</v>
      </c>
    </row>
    <row r="48" spans="1:7" ht="3" customHeight="1">
      <c r="E48" s="717"/>
    </row>
    <row r="49" spans="1:7" ht="12" customHeight="1">
      <c r="A49" s="699">
        <v>15</v>
      </c>
      <c r="C49" s="699" t="s">
        <v>3617</v>
      </c>
      <c r="E49" s="717" t="str">
        <f>'Part II-Development Team'!Q99</f>
        <v>Steve Berman</v>
      </c>
      <c r="G49" s="717" t="str">
        <f>'Part II-Development Team'!H99</f>
        <v>Berman Indictor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95</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3616</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1943366.6359299109</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6411</v>
      </c>
    </row>
    <row r="64" spans="1:7" ht="12" customHeight="1">
      <c r="E64" s="1107" t="s">
        <v>3227</v>
      </c>
      <c r="F64" s="1108" t="s">
        <v>3228</v>
      </c>
      <c r="G64" s="1107" t="s">
        <v>6412</v>
      </c>
    </row>
    <row r="65" spans="1:7" ht="12" customHeight="1">
      <c r="E65" s="1107" t="s">
        <v>3227</v>
      </c>
      <c r="F65" s="1108" t="s">
        <v>3228</v>
      </c>
      <c r="G65" s="1107" t="s">
        <v>6413</v>
      </c>
    </row>
    <row r="66" spans="1:7" ht="3" customHeight="1"/>
    <row r="67" spans="1:7" ht="12" customHeight="1">
      <c r="A67" s="699">
        <v>22</v>
      </c>
      <c r="C67" s="699" t="s">
        <v>2890</v>
      </c>
      <c r="E67" s="717" t="str">
        <f>'Sensitivity Analysis'!H9</f>
        <v>Oak Street I LLC</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343496.66975760838</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124881.46093189654</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3080</v>
      </c>
      <c r="B1" s="4482"/>
      <c r="C1" s="4482"/>
      <c r="D1" s="4482"/>
      <c r="E1" s="4482"/>
      <c r="F1" s="4482"/>
      <c r="G1" s="4482"/>
      <c r="H1" s="4482"/>
      <c r="I1" s="4482"/>
      <c r="J1" s="4482"/>
    </row>
    <row r="2" spans="1:13" ht="15">
      <c r="A2" s="4482" t="str">
        <f>'Sensitivity Analysis'!E8&amp;"  "&amp;'Sensitivity Analysis'!C8</f>
        <v>2021-018  Roswell Redevelopment Phase I</v>
      </c>
      <c r="B2" s="4482"/>
      <c r="C2" s="4482"/>
      <c r="D2" s="4482"/>
      <c r="E2" s="4482"/>
      <c r="F2" s="4482"/>
      <c r="G2" s="4482"/>
      <c r="H2" s="4482"/>
      <c r="I2" s="4482"/>
      <c r="J2" s="4482"/>
    </row>
    <row r="3" spans="1:13" ht="6" customHeight="1">
      <c r="K3" s="4478" t="s">
        <v>3610</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Oak Street I LLC</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Mark H. Dambly</v>
      </c>
      <c r="G15" s="636"/>
      <c r="I15" s="705"/>
    </row>
    <row r="16" spans="1:13" ht="12" customHeight="1">
      <c r="A16" s="717" t="s">
        <v>3814</v>
      </c>
      <c r="C16" s="707" t="str">
        <f>'Part II-Development Team'!Q7</f>
        <v>President of Managing Mbr.</v>
      </c>
      <c r="G16" s="636"/>
      <c r="I16" s="705"/>
    </row>
    <row r="17" spans="1:9" ht="3" customHeight="1">
      <c r="G17" s="636"/>
      <c r="H17" s="705"/>
      <c r="I17" s="705"/>
    </row>
    <row r="18" spans="1:9" ht="12" customHeight="1">
      <c r="A18" s="699" t="s">
        <v>2905</v>
      </c>
      <c r="C18" s="707" t="str">
        <f>'Preview term'!$E$7</f>
        <v>230 Wyoming Avenue</v>
      </c>
      <c r="G18" s="636"/>
      <c r="I18" s="705"/>
    </row>
    <row r="19" spans="1:9" ht="12" customHeight="1">
      <c r="C19" s="707" t="str">
        <f>'Preview term'!$E$8</f>
        <v>Kingston, PA 18704</v>
      </c>
      <c r="G19" s="636"/>
      <c r="I19" s="705"/>
    </row>
    <row r="20" spans="1:9" ht="3" customHeight="1">
      <c r="G20" s="636"/>
      <c r="H20" s="705"/>
      <c r="I20" s="705"/>
    </row>
    <row r="21" spans="1:9" ht="12" customHeight="1">
      <c r="A21" s="699" t="s">
        <v>2906</v>
      </c>
      <c r="C21" s="707" t="str">
        <f>CONCATENATE('Preview term'!E49," of  ",'Preview term'!G49)</f>
        <v>Steve Berman of  Berman Indictor LLP</v>
      </c>
      <c r="G21" s="636"/>
      <c r="I21" s="705"/>
    </row>
    <row r="22" spans="1:9" ht="3" customHeight="1">
      <c r="C22" s="707"/>
      <c r="G22" s="636"/>
      <c r="I22" s="705"/>
    </row>
    <row r="23" spans="1:9" ht="12" customHeight="1">
      <c r="A23" s="699" t="s">
        <v>2907</v>
      </c>
      <c r="C23" s="707">
        <f>'Preview term'!E12</f>
        <v>2673868600</v>
      </c>
      <c r="G23" s="636"/>
      <c r="I23" s="705"/>
    </row>
    <row r="24" spans="1:9" ht="3" customHeight="1">
      <c r="C24" s="707"/>
      <c r="G24" s="636"/>
      <c r="I24" s="705"/>
    </row>
    <row r="25" spans="1:9" ht="12" customHeight="1">
      <c r="A25" s="699" t="s">
        <v>2908</v>
      </c>
      <c r="C25" s="1057" t="str">
        <f>'Preview term'!E11</f>
        <v>mdambly@pennrose.com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Roswell Redevelopment Phase I</v>
      </c>
      <c r="I28" s="705"/>
    </row>
    <row r="29" spans="1:9" ht="3" customHeight="1">
      <c r="C29" s="707"/>
      <c r="I29" s="705"/>
    </row>
    <row r="30" spans="1:9" ht="12" customHeight="1">
      <c r="A30" s="699" t="s">
        <v>2911</v>
      </c>
      <c r="C30" s="707" t="str">
        <f>'Preview term'!E16</f>
        <v>151 Oak Street</v>
      </c>
      <c r="I30" s="705"/>
    </row>
    <row r="31" spans="1:9">
      <c r="C31" s="705" t="str">
        <f>'Preview term'!E17</f>
        <v>Roswell, GA 30075</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83" t="str">
        <f>_xlfn.CONCAT('Part VIII-Threshold Criteria'!K224," and ",'Part VIII-Threshold Criteria'!K225)</f>
        <v>Room and Gazebo</v>
      </c>
      <c r="D39" s="4483"/>
      <c r="E39" s="4483"/>
      <c r="F39" s="4483"/>
      <c r="G39" s="4483"/>
      <c r="H39" s="4483"/>
      <c r="I39" s="4483"/>
      <c r="J39" s="4483"/>
    </row>
    <row r="40" spans="1:10" ht="25.5" customHeight="1">
      <c r="A40" s="712" t="s">
        <v>6415</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Arts &amp; Craft /Activity Center , Equipped Computer Center and WiFi , (Select an amenity from options provided here), (Select an amenity from options provided here),   , ,   , and  </v>
      </c>
      <c r="D40" s="4483"/>
      <c r="E40" s="4483"/>
      <c r="F40" s="4483"/>
      <c r="G40" s="4483"/>
      <c r="H40" s="4483"/>
      <c r="I40" s="4483"/>
      <c r="J40" s="4483"/>
    </row>
    <row r="41" spans="1:10" ht="3" customHeight="1">
      <c r="G41" s="636"/>
      <c r="H41" s="636"/>
      <c r="I41" s="636"/>
    </row>
    <row r="42" spans="1:10" ht="25.5" customHeight="1">
      <c r="A42" s="712" t="s">
        <v>2918</v>
      </c>
      <c r="C42" s="4484" t="s">
        <v>3229</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2919</v>
      </c>
      <c r="C44" s="574" t="str">
        <f>'Part I-Project Information'!J40</f>
        <v>Fulton</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3230</v>
      </c>
      <c r="E53" s="4488"/>
      <c r="F53" s="4488"/>
      <c r="G53" s="4488"/>
      <c r="H53" s="4488"/>
      <c r="I53" s="4488"/>
      <c r="J53" s="4488"/>
    </row>
    <row r="54" spans="1:10" ht="12" customHeight="1">
      <c r="A54" s="712"/>
      <c r="B54" s="712"/>
      <c r="C54" s="712"/>
      <c r="D54" s="716" t="s">
        <v>3231</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Pennrose Holdings LLC</v>
      </c>
      <c r="G56" s="636"/>
      <c r="I56" s="636"/>
    </row>
    <row r="57" spans="1:10" ht="3" customHeight="1">
      <c r="C57" s="706"/>
      <c r="G57" s="636"/>
      <c r="I57" s="636"/>
    </row>
    <row r="58" spans="1:10" ht="12" customHeight="1">
      <c r="A58" s="699" t="s">
        <v>2927</v>
      </c>
      <c r="C58" s="706" t="str">
        <f>'Sensitivity Analysis'!C11</f>
        <v>Housing Authority of the City of Roswell</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3983100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228</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f>'Subsidy Layering Memo'!L70</f>
        <v>1943366.6359299109</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Truist Community Capital</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t="str">
        <f>'Part III-Sources of Funds'!E40</f>
        <v xml:space="preserve">Grandbridge Real Estate Capital </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0" t="s">
        <v>6419</v>
      </c>
      <c r="F120" s="4480"/>
      <c r="G120" s="4480"/>
      <c r="H120" s="4480"/>
      <c r="I120" s="4480"/>
      <c r="J120" s="4480"/>
    </row>
    <row r="121" spans="1:10" ht="12" customHeight="1">
      <c r="C121" s="636" t="s">
        <v>2962</v>
      </c>
      <c r="D121" s="1065"/>
      <c r="E121" s="4480"/>
      <c r="F121" s="4480"/>
      <c r="G121" s="4480"/>
      <c r="H121" s="4480"/>
      <c r="I121" s="4480"/>
      <c r="J121" s="4480"/>
    </row>
    <row r="122" spans="1:10" ht="12" customHeight="1">
      <c r="C122" s="636" t="s">
        <v>2963</v>
      </c>
      <c r="D122" s="1065"/>
      <c r="E122" s="4480"/>
      <c r="F122" s="4480"/>
      <c r="G122" s="4480"/>
      <c r="H122" s="4480"/>
      <c r="I122" s="4480"/>
      <c r="J122" s="4480"/>
    </row>
    <row r="123" spans="1:10" ht="12" customHeight="1">
      <c r="C123" s="636" t="s">
        <v>2963</v>
      </c>
      <c r="D123" s="1065"/>
      <c r="E123" s="4480"/>
      <c r="F123" s="4480"/>
      <c r="G123" s="4480"/>
      <c r="H123" s="4480"/>
      <c r="I123" s="4480"/>
      <c r="J123" s="448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Pennrose LLC</v>
      </c>
      <c r="D132" s="706" t="str">
        <f>'Sensitivity Analysis'!K11</f>
        <v>Housing Authority of the City of Roswell</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821291.43465524551</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Pennrose Management Company</v>
      </c>
      <c r="G139" s="636"/>
      <c r="I139" s="636"/>
      <c r="J139" s="734"/>
    </row>
    <row r="140" spans="1:10" ht="3" customHeight="1">
      <c r="C140" s="706"/>
      <c r="G140" s="636"/>
      <c r="I140" s="636"/>
    </row>
    <row r="141" spans="1:10" ht="12" customHeight="1">
      <c r="A141" s="699" t="s">
        <v>2974</v>
      </c>
      <c r="C141" s="707" t="str">
        <f>C8</f>
        <v>Oak Street I LLC</v>
      </c>
      <c r="G141" s="636"/>
      <c r="I141" s="705"/>
      <c r="J141" s="735"/>
    </row>
    <row r="142" spans="1:10" ht="3" customHeight="1">
      <c r="C142" s="707"/>
      <c r="G142" s="636"/>
      <c r="I142" s="705"/>
      <c r="J142" s="735"/>
    </row>
    <row r="143" spans="1:10" ht="12" customHeight="1">
      <c r="A143" s="699" t="s">
        <v>2975</v>
      </c>
      <c r="C143" s="707" t="str">
        <f>C18</f>
        <v>230 Wyoming Avenue</v>
      </c>
      <c r="G143" s="636"/>
      <c r="I143" s="705"/>
      <c r="J143" s="735"/>
    </row>
    <row r="144" spans="1:10">
      <c r="C144" s="707" t="str">
        <f>C19</f>
        <v>Kingston, PA 18704</v>
      </c>
      <c r="G144" s="636"/>
      <c r="I144" s="705"/>
      <c r="J144" s="735"/>
    </row>
    <row r="145" spans="1:10" ht="3" customHeight="1">
      <c r="C145" s="736"/>
      <c r="G145" s="636"/>
      <c r="I145" s="705"/>
      <c r="J145" s="735"/>
    </row>
    <row r="146" spans="1:10" ht="12" customHeight="1">
      <c r="A146" s="699" t="s">
        <v>2976</v>
      </c>
      <c r="C146" s="707" t="str">
        <f>'Sensitivity Analysis'!H10</f>
        <v>Hudson Housing Capital LLC</v>
      </c>
      <c r="G146" s="636"/>
      <c r="I146" s="705"/>
      <c r="J146" s="734"/>
    </row>
    <row r="147" spans="1:10" ht="3" customHeight="1">
      <c r="C147" s="707"/>
      <c r="G147" s="636"/>
      <c r="I147" s="705"/>
      <c r="J147" s="735"/>
    </row>
    <row r="148" spans="1:10" ht="12" customHeight="1">
      <c r="A148" s="699" t="s">
        <v>2977</v>
      </c>
      <c r="C148" s="707" t="str">
        <f>'Sensitivity Analysis'!K10</f>
        <v>Hudson Housing Capital LLC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1"/>
      <c r="F166" s="4481"/>
      <c r="G166" s="4481"/>
      <c r="I166" s="636"/>
    </row>
    <row r="167" spans="1:13" ht="3" customHeight="1">
      <c r="E167" s="636"/>
      <c r="G167" s="636"/>
      <c r="I167" s="636"/>
    </row>
    <row r="168" spans="1:13" ht="12" customHeight="1">
      <c r="A168" s="699" t="s">
        <v>2986</v>
      </c>
      <c r="C168" s="699" t="s">
        <v>2987</v>
      </c>
      <c r="E168" s="738">
        <f>'Preview term'!F73</f>
        <v>343496.66975760838</v>
      </c>
      <c r="G168" s="636"/>
      <c r="I168" s="636"/>
    </row>
    <row r="169" spans="1:13" ht="12" customHeight="1">
      <c r="C169" s="699" t="s">
        <v>3236</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23750</v>
      </c>
      <c r="F174" s="705" t="s">
        <v>2991</v>
      </c>
      <c r="J174" s="735"/>
      <c r="K174" s="735"/>
      <c r="L174" s="735"/>
      <c r="M174" s="735"/>
    </row>
    <row r="175" spans="1:13">
      <c r="E175" s="738">
        <f>E174/12</f>
        <v>1979.1666666666667</v>
      </c>
      <c r="F175" s="636" t="s">
        <v>2856</v>
      </c>
    </row>
    <row r="176" spans="1:13" ht="12" customHeight="1">
      <c r="C176" s="699" t="s">
        <v>3237</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124881.46093189654</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79">
        <f>'Part VIII-Threshold Criteria'!E397</f>
        <v>0</v>
      </c>
      <c r="G199" s="4479"/>
      <c r="H199" s="4479"/>
      <c r="I199" s="4479"/>
      <c r="J199" s="4479"/>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6403</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6406</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2" customWidth="1"/>
    <col min="2" max="2" width="6.28515625" style="3022" customWidth="1"/>
    <col min="3" max="3" width="9.85546875" style="3022" customWidth="1"/>
    <col min="4" max="4" width="10.42578125" style="3022" customWidth="1"/>
    <col min="5" max="5" width="7.7109375" style="3118" customWidth="1"/>
    <col min="6" max="6" width="8" style="3022" customWidth="1"/>
    <col min="7" max="7" width="8.7109375" style="3022" customWidth="1"/>
    <col min="8" max="8" width="10.28515625" style="3022" customWidth="1"/>
    <col min="9" max="9" width="10.7109375" style="3022" customWidth="1"/>
    <col min="10" max="10" width="11.7109375" style="3022" customWidth="1"/>
    <col min="11" max="11" width="11.85546875" style="3022" customWidth="1"/>
    <col min="12" max="16384" width="9.140625" style="3022"/>
  </cols>
  <sheetData>
    <row r="1" spans="1:11" ht="18.75">
      <c r="A1" s="3021" t="s">
        <v>4166</v>
      </c>
      <c r="B1" s="3021"/>
      <c r="C1" s="3021"/>
      <c r="D1" s="3021"/>
      <c r="E1" s="3021"/>
      <c r="F1" s="3021"/>
      <c r="G1" s="3021"/>
      <c r="H1" s="3021"/>
    </row>
    <row r="2" spans="1:11" ht="19.5" thickBot="1">
      <c r="A2" s="3021" t="s">
        <v>4167</v>
      </c>
      <c r="B2" s="3021"/>
      <c r="C2" s="3021"/>
      <c r="D2" s="3021"/>
      <c r="E2" s="3021"/>
      <c r="F2" s="3021"/>
      <c r="G2" s="3021"/>
      <c r="H2" s="3021"/>
    </row>
    <row r="3" spans="1:11" ht="15" customHeight="1" thickBot="1">
      <c r="A3" s="3023" t="s">
        <v>4168</v>
      </c>
      <c r="B3" s="3024"/>
      <c r="C3" s="3025"/>
      <c r="D3" s="4553" t="str">
        <f>'Part I-Project Information'!F35</f>
        <v>Roswell Redevelopment Phase I</v>
      </c>
      <c r="E3" s="4554"/>
      <c r="F3" s="4554"/>
      <c r="G3" s="4554"/>
      <c r="H3" s="4554"/>
      <c r="I3" s="4554"/>
      <c r="J3" s="4555" t="s">
        <v>6420</v>
      </c>
      <c r="K3" s="4556"/>
    </row>
    <row r="4" spans="1:11" ht="15" customHeight="1">
      <c r="A4" s="3026" t="s">
        <v>4169</v>
      </c>
      <c r="B4" s="3027"/>
      <c r="C4" s="3028"/>
      <c r="D4" s="4557" t="str">
        <f>CONCATENATE('Part I-Project Information'!F36,", ",'Part I-Project Information'!F39,", GA ",'Part I-Project Information'!J39," (",'Part I-Project Information'!J40," Co.)",)</f>
        <v>151 Oak Street, Roswell, GA 300754584 (Fulton Co.)</v>
      </c>
      <c r="E4" s="4558"/>
      <c r="F4" s="4558"/>
      <c r="G4" s="4558"/>
      <c r="H4" s="4558"/>
      <c r="I4" s="4558"/>
      <c r="J4" s="4559" t="s">
        <v>4210</v>
      </c>
      <c r="K4" s="4560"/>
    </row>
    <row r="5" spans="1:11" ht="15" customHeight="1" thickBot="1">
      <c r="A5" s="3029" t="s">
        <v>4170</v>
      </c>
      <c r="B5" s="3030"/>
      <c r="C5" s="3031"/>
      <c r="D5" s="4563"/>
      <c r="E5" s="4564"/>
      <c r="F5" s="4564"/>
      <c r="G5" s="4564"/>
      <c r="H5" s="4564"/>
      <c r="I5" s="4564"/>
      <c r="J5" s="4561"/>
      <c r="K5" s="4562"/>
    </row>
    <row r="6" spans="1:11" ht="9" customHeight="1" thickBot="1">
      <c r="E6" s="3022"/>
    </row>
    <row r="7" spans="1:11">
      <c r="A7" s="4571" t="s">
        <v>4172</v>
      </c>
      <c r="B7" s="4572"/>
      <c r="C7" s="4572"/>
      <c r="D7" s="4572"/>
      <c r="E7" s="4572"/>
      <c r="F7" s="4572"/>
      <c r="G7" s="4572"/>
      <c r="H7" s="4572"/>
      <c r="I7" s="4572"/>
      <c r="J7" s="4572"/>
      <c r="K7" s="4573"/>
    </row>
    <row r="8" spans="1:11" ht="14.25" customHeight="1">
      <c r="A8" s="3032"/>
      <c r="B8" s="3032"/>
      <c r="C8" s="3033">
        <v>1</v>
      </c>
      <c r="D8" s="3034" t="s">
        <v>4173</v>
      </c>
      <c r="E8" s="3034"/>
      <c r="F8" s="3034"/>
      <c r="G8" s="3034"/>
      <c r="H8" s="3034"/>
      <c r="I8" s="3034"/>
      <c r="J8" s="4569"/>
      <c r="K8" s="4570"/>
    </row>
    <row r="9" spans="1:11" ht="7.15" customHeight="1">
      <c r="A9" s="4504"/>
      <c r="B9" s="4504"/>
      <c r="C9" s="4504"/>
      <c r="D9" s="4505"/>
      <c r="E9" s="4505"/>
      <c r="F9" s="4505"/>
      <c r="G9" s="4505"/>
      <c r="H9" s="4505"/>
      <c r="I9" s="4505"/>
      <c r="J9" s="4505"/>
      <c r="K9" s="3035"/>
    </row>
    <row r="10" spans="1:11">
      <c r="A10" s="4574" t="s">
        <v>4174</v>
      </c>
      <c r="B10" s="4575"/>
      <c r="C10" s="4575"/>
      <c r="D10" s="4575"/>
      <c r="E10" s="4575"/>
      <c r="F10" s="4575"/>
      <c r="G10" s="4575"/>
      <c r="H10" s="4575"/>
      <c r="I10" s="4575"/>
      <c r="J10" s="4575"/>
      <c r="K10" s="4576"/>
    </row>
    <row r="11" spans="1:11" ht="14.25" customHeight="1">
      <c r="A11" s="3032"/>
      <c r="B11" s="3032"/>
      <c r="C11" s="3033">
        <v>2</v>
      </c>
      <c r="D11" s="3034" t="s">
        <v>4175</v>
      </c>
      <c r="E11" s="3036"/>
      <c r="F11" s="3036"/>
      <c r="G11" s="3036"/>
      <c r="H11" s="3036"/>
      <c r="I11" s="3036"/>
      <c r="J11" s="4567"/>
      <c r="K11" s="4568"/>
    </row>
    <row r="12" spans="1:11" ht="7.15" customHeight="1">
      <c r="A12" s="4504"/>
      <c r="B12" s="4504"/>
      <c r="C12" s="4504"/>
      <c r="D12" s="4505"/>
      <c r="E12" s="4505"/>
      <c r="F12" s="4505"/>
      <c r="G12" s="4505"/>
      <c r="H12" s="4505"/>
      <c r="I12" s="4505"/>
      <c r="J12" s="4505"/>
      <c r="K12" s="3037"/>
    </row>
    <row r="13" spans="1:11">
      <c r="A13" s="4574" t="s">
        <v>4176</v>
      </c>
      <c r="B13" s="4575"/>
      <c r="C13" s="4575"/>
      <c r="D13" s="4575"/>
      <c r="E13" s="4575"/>
      <c r="F13" s="4575"/>
      <c r="G13" s="4575"/>
      <c r="H13" s="4575"/>
      <c r="I13" s="4575"/>
      <c r="J13" s="4575"/>
      <c r="K13" s="4576"/>
    </row>
    <row r="14" spans="1:11" ht="14.25" customHeight="1">
      <c r="A14" s="3027"/>
      <c r="B14" s="3027"/>
      <c r="C14" s="3038">
        <v>3</v>
      </c>
      <c r="D14" s="3039" t="s">
        <v>4177</v>
      </c>
      <c r="E14" s="3039"/>
      <c r="F14" s="3039"/>
      <c r="G14" s="3039"/>
      <c r="H14" s="3039"/>
      <c r="I14" s="3039"/>
      <c r="J14" s="4565"/>
      <c r="K14" s="4566"/>
    </row>
    <row r="15" spans="1:11" ht="14.25" customHeight="1">
      <c r="A15" s="3027"/>
      <c r="B15" s="3027"/>
      <c r="C15" s="3040">
        <v>4</v>
      </c>
      <c r="D15" s="3027" t="s">
        <v>4178</v>
      </c>
      <c r="E15" s="3027"/>
      <c r="F15" s="3027"/>
      <c r="G15" s="3027"/>
      <c r="H15" s="3027"/>
      <c r="I15" s="3027"/>
      <c r="J15" s="4502"/>
      <c r="K15" s="4503"/>
    </row>
    <row r="16" spans="1:11" ht="14.25" customHeight="1">
      <c r="A16" s="3027"/>
      <c r="B16" s="3027"/>
      <c r="C16" s="3040">
        <v>5</v>
      </c>
      <c r="D16" s="3027" t="s">
        <v>4179</v>
      </c>
      <c r="E16" s="3027"/>
      <c r="F16" s="3027"/>
      <c r="G16" s="3027"/>
      <c r="H16" s="3027"/>
      <c r="I16" s="3027"/>
      <c r="J16" s="4502"/>
      <c r="K16" s="4503"/>
    </row>
    <row r="17" spans="1:13" ht="14.25" customHeight="1">
      <c r="A17" s="3032"/>
      <c r="B17" s="3032"/>
      <c r="C17" s="3041">
        <v>6</v>
      </c>
      <c r="D17" s="3030" t="s">
        <v>4180</v>
      </c>
      <c r="E17" s="3030"/>
      <c r="F17" s="3030"/>
      <c r="G17" s="3030"/>
      <c r="H17" s="3030"/>
      <c r="I17" s="3030"/>
      <c r="J17" s="4500"/>
      <c r="K17" s="4501"/>
    </row>
    <row r="18" spans="1:13" ht="7.15" customHeight="1">
      <c r="A18" s="4504"/>
      <c r="B18" s="4504"/>
      <c r="C18" s="4504"/>
      <c r="D18" s="4505"/>
      <c r="E18" s="4505"/>
      <c r="F18" s="4505"/>
      <c r="G18" s="4505"/>
      <c r="H18" s="4505"/>
      <c r="I18" s="4505"/>
      <c r="J18" s="4505"/>
      <c r="K18" s="3037"/>
    </row>
    <row r="19" spans="1:13" ht="14.25" customHeight="1">
      <c r="A19" s="3027"/>
      <c r="B19" s="3027"/>
      <c r="C19" s="3038">
        <v>7</v>
      </c>
      <c r="D19" s="3039" t="s">
        <v>4181</v>
      </c>
      <c r="E19" s="3039"/>
      <c r="F19" s="3039"/>
      <c r="G19" s="3039"/>
      <c r="H19" s="3039"/>
      <c r="I19" s="3039"/>
      <c r="J19" s="4498" t="str">
        <f>IF(J17="No",J14-J15,IF(J17="Yes",J14-J15-J16,"Error"))</f>
        <v>Error</v>
      </c>
      <c r="K19" s="4499"/>
    </row>
    <row r="20" spans="1:13" ht="14.25" customHeight="1">
      <c r="A20" s="3032"/>
      <c r="B20" s="3032"/>
      <c r="C20" s="3041">
        <v>8</v>
      </c>
      <c r="D20" s="3030" t="s">
        <v>4182</v>
      </c>
      <c r="E20" s="3030"/>
      <c r="F20" s="3030"/>
      <c r="G20" s="3030"/>
      <c r="H20" s="3030"/>
      <c r="I20" s="3030"/>
      <c r="J20" s="4496" t="e">
        <f>ROUNDDOWN(J19/J8,2)</f>
        <v>#VALUE!</v>
      </c>
      <c r="K20" s="4497"/>
    </row>
    <row r="21" spans="1:13" ht="7.15" customHeight="1">
      <c r="A21" s="4504"/>
      <c r="B21" s="4504"/>
      <c r="C21" s="4504"/>
      <c r="D21" s="4505"/>
      <c r="E21" s="4505"/>
      <c r="F21" s="4505"/>
      <c r="G21" s="4505"/>
      <c r="H21" s="4505"/>
      <c r="I21" s="4505"/>
      <c r="J21" s="4505"/>
      <c r="K21" s="3037"/>
    </row>
    <row r="22" spans="1:13" ht="14.25" customHeight="1" thickBot="1">
      <c r="A22" s="3027"/>
      <c r="B22" s="3027"/>
      <c r="C22" s="3033">
        <v>9</v>
      </c>
      <c r="D22" s="3042" t="s">
        <v>4183</v>
      </c>
      <c r="E22" s="3042"/>
      <c r="F22" s="3042"/>
      <c r="G22" s="3042"/>
      <c r="H22" s="3042"/>
      <c r="I22" s="3042"/>
      <c r="J22" s="4494" t="e">
        <f>J11/J19</f>
        <v>#VALUE!</v>
      </c>
      <c r="K22" s="4495"/>
    </row>
    <row r="23" spans="1:13" ht="9" customHeight="1">
      <c r="A23" s="3043"/>
      <c r="C23" s="3044"/>
      <c r="D23" s="3044"/>
      <c r="E23" s="3044"/>
      <c r="F23" s="3044"/>
      <c r="G23" s="3044"/>
      <c r="H23" s="3044"/>
      <c r="I23" s="3044"/>
      <c r="J23" s="3044"/>
      <c r="K23" s="3045"/>
    </row>
    <row r="24" spans="1:13" ht="18.75">
      <c r="A24" s="3046" t="s">
        <v>4184</v>
      </c>
      <c r="C24" s="3044"/>
      <c r="D24" s="3044"/>
      <c r="E24" s="3044"/>
      <c r="F24" s="3044"/>
      <c r="G24" s="3044"/>
      <c r="H24" s="3044"/>
      <c r="I24" s="3044"/>
      <c r="J24" s="3044"/>
      <c r="K24" s="3045"/>
    </row>
    <row r="25" spans="1:13" ht="14.25" customHeight="1">
      <c r="A25" s="3047" t="s">
        <v>4215</v>
      </c>
      <c r="C25" s="3044"/>
      <c r="D25" s="3044"/>
      <c r="E25" s="3044"/>
      <c r="F25" s="3044"/>
      <c r="G25" s="3044"/>
      <c r="H25" s="3044"/>
      <c r="I25" s="3044"/>
      <c r="J25" s="3044"/>
      <c r="K25" s="3045"/>
    </row>
    <row r="26" spans="1:13" ht="14.25" customHeight="1">
      <c r="A26" s="3047" t="s">
        <v>4216</v>
      </c>
      <c r="C26" s="3044"/>
      <c r="D26" s="3044"/>
      <c r="E26" s="3044"/>
      <c r="F26" s="3044"/>
      <c r="G26" s="3044"/>
      <c r="H26" s="3044"/>
      <c r="I26" s="3044"/>
      <c r="J26" s="3044"/>
      <c r="K26" s="3045"/>
    </row>
    <row r="27" spans="1:13" ht="14.25" customHeight="1">
      <c r="A27" s="3047" t="s">
        <v>4217</v>
      </c>
      <c r="C27" s="3044"/>
      <c r="D27" s="3044"/>
      <c r="E27" s="3044"/>
      <c r="F27" s="3044"/>
      <c r="G27" s="3044"/>
      <c r="H27" s="3044"/>
      <c r="I27" s="3044"/>
      <c r="J27" s="3044"/>
      <c r="K27" s="3045"/>
    </row>
    <row r="28" spans="1:13" ht="14.25" customHeight="1">
      <c r="A28" s="3047" t="s">
        <v>4218</v>
      </c>
      <c r="C28" s="3044"/>
      <c r="D28" s="3044"/>
      <c r="E28" s="3044"/>
      <c r="F28" s="3044"/>
      <c r="G28" s="3044"/>
      <c r="H28" s="3044"/>
      <c r="I28" s="3044"/>
      <c r="J28" s="3044"/>
      <c r="K28" s="3045"/>
    </row>
    <row r="29" spans="1:13" ht="9" customHeight="1">
      <c r="A29" s="3044"/>
      <c r="C29" s="3044"/>
      <c r="D29" s="3044"/>
      <c r="E29" s="3044"/>
      <c r="F29" s="3044"/>
      <c r="G29" s="3044"/>
      <c r="H29" s="3044"/>
      <c r="I29" s="3044"/>
      <c r="J29" s="3044"/>
      <c r="K29" s="3045"/>
    </row>
    <row r="30" spans="1:13">
      <c r="A30" s="4541" t="s">
        <v>4214</v>
      </c>
      <c r="B30" s="4542"/>
      <c r="C30" s="4542"/>
      <c r="D30" s="4542"/>
      <c r="E30" s="4542"/>
      <c r="F30" s="4542"/>
      <c r="G30" s="4542"/>
      <c r="H30" s="4542"/>
      <c r="I30" s="4542"/>
      <c r="J30" s="4542"/>
      <c r="K30" s="4543"/>
    </row>
    <row r="31" spans="1:13">
      <c r="A31" s="3048"/>
      <c r="B31" s="4544" t="s">
        <v>6420</v>
      </c>
      <c r="C31" s="4544"/>
      <c r="D31" s="4544"/>
      <c r="E31" s="4544"/>
      <c r="F31" s="4544"/>
      <c r="G31" s="4545" t="s">
        <v>4185</v>
      </c>
      <c r="H31" s="4546"/>
      <c r="I31" s="4546"/>
      <c r="J31" s="4546"/>
      <c r="K31" s="4547"/>
    </row>
    <row r="32" spans="1:13" ht="56.25" customHeight="1">
      <c r="A32" s="3049"/>
      <c r="B32" s="3050" t="s">
        <v>4213</v>
      </c>
      <c r="C32" s="3051" t="s">
        <v>4209</v>
      </c>
      <c r="D32" s="3051" t="s">
        <v>4208</v>
      </c>
      <c r="E32" s="4548" t="s">
        <v>6312</v>
      </c>
      <c r="F32" s="4549"/>
      <c r="G32" s="3052" t="s">
        <v>4186</v>
      </c>
      <c r="H32" s="3052" t="s">
        <v>4187</v>
      </c>
      <c r="J32" s="3052" t="s">
        <v>4188</v>
      </c>
      <c r="K32" s="3052" t="s">
        <v>4189</v>
      </c>
      <c r="L32" s="4550" t="s">
        <v>4190</v>
      </c>
      <c r="M32" s="4550"/>
    </row>
    <row r="33" spans="2:14" ht="12.75" customHeight="1">
      <c r="B33" s="3053"/>
      <c r="C33" s="3054"/>
      <c r="D33" s="3055"/>
      <c r="E33" s="4551"/>
      <c r="F33" s="4552"/>
      <c r="G33" s="3056" t="e">
        <f t="shared" ref="G33:G51" si="0">$J$22*B33</f>
        <v>#VALUE!</v>
      </c>
      <c r="H33" s="3057" t="e">
        <f>ROUNDUP(G33,0)</f>
        <v>#VALUE!</v>
      </c>
      <c r="I33" s="3058"/>
      <c r="J33" s="3059" t="e">
        <f t="shared" ref="J33:J51" si="1">$J$20*E33</f>
        <v>#VALUE!</v>
      </c>
      <c r="K33" s="3059" t="e">
        <f t="shared" ref="K33:K51" si="2">ROUNDDOWN(J33*H33,0)</f>
        <v>#VALUE!</v>
      </c>
      <c r="L33" s="4550"/>
      <c r="M33" s="4550"/>
    </row>
    <row r="34" spans="2:14" ht="12.75" customHeight="1">
      <c r="B34" s="3060"/>
      <c r="C34" s="3061"/>
      <c r="D34" s="3062"/>
      <c r="E34" s="4532"/>
      <c r="F34" s="4533"/>
      <c r="G34" s="3063" t="e">
        <f t="shared" si="0"/>
        <v>#VALUE!</v>
      </c>
      <c r="H34" s="3064" t="e">
        <f t="shared" ref="H34:H51" si="3">ROUNDUP(G34,0)</f>
        <v>#VALUE!</v>
      </c>
      <c r="I34" s="3058"/>
      <c r="J34" s="3065" t="e">
        <f t="shared" si="1"/>
        <v>#VALUE!</v>
      </c>
      <c r="K34" s="3065" t="e">
        <f t="shared" si="2"/>
        <v>#VALUE!</v>
      </c>
      <c r="L34" s="4550"/>
      <c r="M34" s="4550"/>
    </row>
    <row r="35" spans="2:14" ht="12.75" customHeight="1">
      <c r="B35" s="3060"/>
      <c r="C35" s="3061"/>
      <c r="D35" s="3062"/>
      <c r="E35" s="4532"/>
      <c r="F35" s="4533"/>
      <c r="G35" s="3063" t="e">
        <f t="shared" si="0"/>
        <v>#VALUE!</v>
      </c>
      <c r="H35" s="3064" t="e">
        <f t="shared" si="3"/>
        <v>#VALUE!</v>
      </c>
      <c r="I35" s="3058"/>
      <c r="J35" s="3065" t="e">
        <f t="shared" si="1"/>
        <v>#VALUE!</v>
      </c>
      <c r="K35" s="3065" t="e">
        <f t="shared" si="2"/>
        <v>#VALUE!</v>
      </c>
      <c r="L35" s="4550"/>
      <c r="M35" s="4550"/>
    </row>
    <row r="36" spans="2:14" ht="12.75" customHeight="1">
      <c r="B36" s="3060"/>
      <c r="C36" s="3061"/>
      <c r="D36" s="3062"/>
      <c r="E36" s="4532"/>
      <c r="F36" s="4533"/>
      <c r="G36" s="3063" t="e">
        <f t="shared" si="0"/>
        <v>#VALUE!</v>
      </c>
      <c r="H36" s="3064" t="e">
        <f t="shared" si="3"/>
        <v>#VALUE!</v>
      </c>
      <c r="I36" s="3058"/>
      <c r="J36" s="3065" t="e">
        <f t="shared" si="1"/>
        <v>#VALUE!</v>
      </c>
      <c r="K36" s="3065" t="e">
        <f t="shared" si="2"/>
        <v>#VALUE!</v>
      </c>
      <c r="L36" s="4550"/>
      <c r="M36" s="4550"/>
      <c r="N36" s="3066"/>
    </row>
    <row r="37" spans="2:14" ht="12.75" customHeight="1">
      <c r="B37" s="3060"/>
      <c r="C37" s="3061"/>
      <c r="D37" s="3062"/>
      <c r="E37" s="4532"/>
      <c r="F37" s="4533"/>
      <c r="G37" s="3063" t="e">
        <f t="shared" si="0"/>
        <v>#VALUE!</v>
      </c>
      <c r="H37" s="3064" t="e">
        <f t="shared" si="3"/>
        <v>#VALUE!</v>
      </c>
      <c r="I37" s="3058"/>
      <c r="J37" s="3065" t="e">
        <f t="shared" si="1"/>
        <v>#VALUE!</v>
      </c>
      <c r="K37" s="3065" t="e">
        <f t="shared" si="2"/>
        <v>#VALUE!</v>
      </c>
      <c r="L37" s="4550"/>
      <c r="M37" s="4550"/>
    </row>
    <row r="38" spans="2:14" ht="12.75" customHeight="1">
      <c r="B38" s="3060"/>
      <c r="C38" s="3061"/>
      <c r="D38" s="3062"/>
      <c r="E38" s="4532"/>
      <c r="F38" s="4533"/>
      <c r="G38" s="3063" t="e">
        <f t="shared" si="0"/>
        <v>#VALUE!</v>
      </c>
      <c r="H38" s="3064" t="e">
        <f t="shared" si="3"/>
        <v>#VALUE!</v>
      </c>
      <c r="I38" s="3058"/>
      <c r="J38" s="3065" t="e">
        <f t="shared" si="1"/>
        <v>#VALUE!</v>
      </c>
      <c r="K38" s="3065" t="e">
        <f t="shared" si="2"/>
        <v>#VALUE!</v>
      </c>
      <c r="L38" s="4550"/>
      <c r="M38" s="4550"/>
    </row>
    <row r="39" spans="2:14" ht="12.75" customHeight="1">
      <c r="B39" s="3060"/>
      <c r="C39" s="3061"/>
      <c r="D39" s="3062"/>
      <c r="E39" s="4532"/>
      <c r="F39" s="4533"/>
      <c r="G39" s="3063" t="e">
        <f t="shared" si="0"/>
        <v>#VALUE!</v>
      </c>
      <c r="H39" s="3064" t="e">
        <f t="shared" si="3"/>
        <v>#VALUE!</v>
      </c>
      <c r="I39" s="3058"/>
      <c r="J39" s="3065" t="e">
        <f t="shared" si="1"/>
        <v>#VALUE!</v>
      </c>
      <c r="K39" s="3065" t="e">
        <f t="shared" si="2"/>
        <v>#VALUE!</v>
      </c>
      <c r="L39" s="4550"/>
      <c r="M39" s="4550"/>
    </row>
    <row r="40" spans="2:14" ht="12.75" customHeight="1">
      <c r="B40" s="3060"/>
      <c r="C40" s="3061"/>
      <c r="D40" s="3062"/>
      <c r="E40" s="4532"/>
      <c r="F40" s="4533"/>
      <c r="G40" s="3063" t="e">
        <f t="shared" si="0"/>
        <v>#VALUE!</v>
      </c>
      <c r="H40" s="3064" t="e">
        <f t="shared" si="3"/>
        <v>#VALUE!</v>
      </c>
      <c r="I40" s="3058"/>
      <c r="J40" s="3065" t="e">
        <f t="shared" si="1"/>
        <v>#VALUE!</v>
      </c>
      <c r="K40" s="3065" t="e">
        <f t="shared" si="2"/>
        <v>#VALUE!</v>
      </c>
      <c r="L40" s="4550"/>
      <c r="M40" s="4550"/>
    </row>
    <row r="41" spans="2:14" ht="12.75" customHeight="1">
      <c r="B41" s="3060"/>
      <c r="C41" s="3061"/>
      <c r="D41" s="3062"/>
      <c r="E41" s="4532"/>
      <c r="F41" s="4533"/>
      <c r="G41" s="3063" t="e">
        <f t="shared" si="0"/>
        <v>#VALUE!</v>
      </c>
      <c r="H41" s="3064" t="e">
        <f t="shared" si="3"/>
        <v>#VALUE!</v>
      </c>
      <c r="I41" s="3058"/>
      <c r="J41" s="3065" t="e">
        <f t="shared" si="1"/>
        <v>#VALUE!</v>
      </c>
      <c r="K41" s="3065" t="e">
        <f t="shared" si="2"/>
        <v>#VALUE!</v>
      </c>
      <c r="L41" s="4550"/>
      <c r="M41" s="4550"/>
    </row>
    <row r="42" spans="2:14" ht="12.75" customHeight="1">
      <c r="B42" s="3060"/>
      <c r="C42" s="3061"/>
      <c r="D42" s="3062"/>
      <c r="E42" s="4532"/>
      <c r="F42" s="4533"/>
      <c r="G42" s="3063" t="e">
        <f t="shared" si="0"/>
        <v>#VALUE!</v>
      </c>
      <c r="H42" s="3064" t="e">
        <f t="shared" si="3"/>
        <v>#VALUE!</v>
      </c>
      <c r="I42" s="3058"/>
      <c r="J42" s="3065" t="e">
        <f t="shared" si="1"/>
        <v>#VALUE!</v>
      </c>
      <c r="K42" s="3065" t="e">
        <f t="shared" si="2"/>
        <v>#VALUE!</v>
      </c>
      <c r="L42" s="4550"/>
      <c r="M42" s="4550"/>
    </row>
    <row r="43" spans="2:14" ht="12.75" customHeight="1">
      <c r="B43" s="3060"/>
      <c r="C43" s="3061"/>
      <c r="D43" s="3062"/>
      <c r="E43" s="4532"/>
      <c r="F43" s="4533"/>
      <c r="G43" s="3063" t="e">
        <f t="shared" si="0"/>
        <v>#VALUE!</v>
      </c>
      <c r="H43" s="3064" t="e">
        <f t="shared" si="3"/>
        <v>#VALUE!</v>
      </c>
      <c r="I43" s="3058"/>
      <c r="J43" s="3065" t="e">
        <f t="shared" si="1"/>
        <v>#VALUE!</v>
      </c>
      <c r="K43" s="3065" t="e">
        <f t="shared" si="2"/>
        <v>#VALUE!</v>
      </c>
      <c r="L43" s="4550"/>
      <c r="M43" s="4550"/>
    </row>
    <row r="44" spans="2:14" ht="12.75" customHeight="1">
      <c r="B44" s="3060"/>
      <c r="C44" s="3061"/>
      <c r="D44" s="3062"/>
      <c r="E44" s="4532"/>
      <c r="F44" s="4533"/>
      <c r="G44" s="3063" t="e">
        <f t="shared" si="0"/>
        <v>#VALUE!</v>
      </c>
      <c r="H44" s="3064" t="e">
        <f t="shared" si="3"/>
        <v>#VALUE!</v>
      </c>
      <c r="I44" s="3058"/>
      <c r="J44" s="3065" t="e">
        <f t="shared" si="1"/>
        <v>#VALUE!</v>
      </c>
      <c r="K44" s="3065" t="e">
        <f t="shared" si="2"/>
        <v>#VALUE!</v>
      </c>
      <c r="L44" s="4550"/>
      <c r="M44" s="4550"/>
    </row>
    <row r="45" spans="2:14" ht="12.75" customHeight="1">
      <c r="B45" s="3060"/>
      <c r="C45" s="3061"/>
      <c r="D45" s="3062"/>
      <c r="E45" s="4532"/>
      <c r="F45" s="4533"/>
      <c r="G45" s="3063" t="e">
        <f t="shared" si="0"/>
        <v>#VALUE!</v>
      </c>
      <c r="H45" s="3064" t="e">
        <f t="shared" si="3"/>
        <v>#VALUE!</v>
      </c>
      <c r="I45" s="3058"/>
      <c r="J45" s="3065" t="e">
        <f t="shared" si="1"/>
        <v>#VALUE!</v>
      </c>
      <c r="K45" s="3065" t="e">
        <f t="shared" si="2"/>
        <v>#VALUE!</v>
      </c>
      <c r="L45" s="4550"/>
      <c r="M45" s="4550"/>
    </row>
    <row r="46" spans="2:14" ht="12.75" customHeight="1">
      <c r="B46" s="3060"/>
      <c r="C46" s="3061"/>
      <c r="D46" s="3062"/>
      <c r="E46" s="4532"/>
      <c r="F46" s="4533"/>
      <c r="G46" s="3063" t="e">
        <f t="shared" si="0"/>
        <v>#VALUE!</v>
      </c>
      <c r="H46" s="3064" t="e">
        <f t="shared" si="3"/>
        <v>#VALUE!</v>
      </c>
      <c r="I46" s="3058"/>
      <c r="J46" s="3065" t="e">
        <f t="shared" si="1"/>
        <v>#VALUE!</v>
      </c>
      <c r="K46" s="3065" t="e">
        <f t="shared" si="2"/>
        <v>#VALUE!</v>
      </c>
      <c r="L46" s="4550"/>
      <c r="M46" s="4550"/>
    </row>
    <row r="47" spans="2:14" ht="12.75" customHeight="1">
      <c r="B47" s="3060"/>
      <c r="C47" s="3061"/>
      <c r="D47" s="3062"/>
      <c r="E47" s="4532"/>
      <c r="F47" s="4533"/>
      <c r="G47" s="3063" t="e">
        <f t="shared" si="0"/>
        <v>#VALUE!</v>
      </c>
      <c r="H47" s="3064" t="e">
        <f t="shared" si="3"/>
        <v>#VALUE!</v>
      </c>
      <c r="I47" s="3058"/>
      <c r="J47" s="3065" t="e">
        <f t="shared" si="1"/>
        <v>#VALUE!</v>
      </c>
      <c r="K47" s="3065" t="e">
        <f t="shared" si="2"/>
        <v>#VALUE!</v>
      </c>
      <c r="L47" s="4550"/>
      <c r="M47" s="4550"/>
    </row>
    <row r="48" spans="2:14" ht="12.75" customHeight="1">
      <c r="B48" s="3060"/>
      <c r="C48" s="3061"/>
      <c r="D48" s="3062"/>
      <c r="E48" s="4532"/>
      <c r="F48" s="4533"/>
      <c r="G48" s="3063" t="e">
        <f t="shared" si="0"/>
        <v>#VALUE!</v>
      </c>
      <c r="H48" s="3064" t="e">
        <f t="shared" si="3"/>
        <v>#VALUE!</v>
      </c>
      <c r="I48" s="3058"/>
      <c r="J48" s="3065" t="e">
        <f t="shared" si="1"/>
        <v>#VALUE!</v>
      </c>
      <c r="K48" s="3065" t="e">
        <f t="shared" si="2"/>
        <v>#VALUE!</v>
      </c>
      <c r="L48" s="4550"/>
      <c r="M48" s="4550"/>
    </row>
    <row r="49" spans="1:13" ht="12.75" customHeight="1">
      <c r="B49" s="3060"/>
      <c r="C49" s="3061"/>
      <c r="D49" s="3062"/>
      <c r="E49" s="4532"/>
      <c r="F49" s="4533"/>
      <c r="G49" s="3063" t="e">
        <f t="shared" si="0"/>
        <v>#VALUE!</v>
      </c>
      <c r="H49" s="3064" t="e">
        <f t="shared" si="3"/>
        <v>#VALUE!</v>
      </c>
      <c r="I49" s="3058"/>
      <c r="J49" s="3065" t="e">
        <f t="shared" si="1"/>
        <v>#VALUE!</v>
      </c>
      <c r="K49" s="3065" t="e">
        <f t="shared" si="2"/>
        <v>#VALUE!</v>
      </c>
      <c r="L49" s="4550"/>
      <c r="M49" s="4550"/>
    </row>
    <row r="50" spans="1:13" ht="12.75" customHeight="1">
      <c r="B50" s="3060"/>
      <c r="C50" s="3061"/>
      <c r="D50" s="3062"/>
      <c r="E50" s="4532"/>
      <c r="F50" s="4533"/>
      <c r="G50" s="3063" t="e">
        <f t="shared" si="0"/>
        <v>#VALUE!</v>
      </c>
      <c r="H50" s="3064" t="e">
        <f t="shared" si="3"/>
        <v>#VALUE!</v>
      </c>
      <c r="I50" s="3058"/>
      <c r="J50" s="3065" t="e">
        <f t="shared" si="1"/>
        <v>#VALUE!</v>
      </c>
      <c r="K50" s="3065" t="e">
        <f t="shared" si="2"/>
        <v>#VALUE!</v>
      </c>
      <c r="L50" s="4550"/>
      <c r="M50" s="4550"/>
    </row>
    <row r="51" spans="1:13" ht="12.75" customHeight="1" thickBot="1">
      <c r="B51" s="3067"/>
      <c r="C51" s="3068"/>
      <c r="D51" s="3069"/>
      <c r="E51" s="4534"/>
      <c r="F51" s="4535"/>
      <c r="G51" s="3070" t="e">
        <f t="shared" si="0"/>
        <v>#VALUE!</v>
      </c>
      <c r="H51" s="3071" t="e">
        <f t="shared" si="3"/>
        <v>#VALUE!</v>
      </c>
      <c r="I51" s="3058"/>
      <c r="J51" s="3072" t="e">
        <f t="shared" si="1"/>
        <v>#VALUE!</v>
      </c>
      <c r="K51" s="3072" t="e">
        <f t="shared" si="2"/>
        <v>#VALUE!</v>
      </c>
      <c r="L51" s="4550"/>
      <c r="M51" s="4550"/>
    </row>
    <row r="52" spans="1:13" ht="15" customHeight="1" thickBot="1">
      <c r="A52" s="3048"/>
      <c r="B52" s="3073"/>
      <c r="D52" s="3039"/>
      <c r="E52" s="3039"/>
      <c r="F52" s="3039"/>
      <c r="G52" s="3074" t="s">
        <v>4191</v>
      </c>
      <c r="H52" s="3075" t="e">
        <f>SUM(H33:H51)</f>
        <v>#VALUE!</v>
      </c>
      <c r="I52" s="3039"/>
      <c r="J52" s="3073" t="s">
        <v>4192</v>
      </c>
      <c r="K52" s="3076" t="e">
        <f>SUM(K33:K51)</f>
        <v>#VALUE!</v>
      </c>
      <c r="L52" s="4550"/>
      <c r="M52" s="4550"/>
    </row>
    <row r="53" spans="1:13" ht="15" customHeight="1">
      <c r="A53" s="3048"/>
      <c r="B53" s="3077"/>
      <c r="C53" s="4536" t="s">
        <v>4193</v>
      </c>
      <c r="D53" s="4536"/>
      <c r="E53" s="4536"/>
      <c r="F53" s="4536"/>
      <c r="G53" s="4536"/>
      <c r="H53" s="4536"/>
      <c r="I53" s="4536"/>
      <c r="J53" s="4537"/>
      <c r="K53" s="3078" t="str">
        <f>IF(J17="no",0,IF(J17="yes",J16,"Error"))</f>
        <v>Error</v>
      </c>
      <c r="L53" s="4550"/>
      <c r="M53" s="4550"/>
    </row>
    <row r="54" spans="1:13" ht="15" customHeight="1" thickBot="1">
      <c r="A54" s="3048"/>
      <c r="B54" s="3077"/>
      <c r="C54" s="4538" t="s">
        <v>4194</v>
      </c>
      <c r="D54" s="4538"/>
      <c r="E54" s="4538"/>
      <c r="F54" s="4538"/>
      <c r="G54" s="4538"/>
      <c r="H54" s="4538"/>
      <c r="I54" s="4538"/>
      <c r="J54" s="4539"/>
      <c r="K54" s="3079" t="e">
        <f>K52+K53</f>
        <v>#VALUE!</v>
      </c>
    </row>
    <row r="55" spans="1:13" ht="7.9" customHeight="1">
      <c r="A55" s="4540"/>
      <c r="B55" s="4506"/>
      <c r="C55" s="4506"/>
      <c r="D55" s="4506"/>
      <c r="E55" s="4506"/>
      <c r="F55" s="4506"/>
      <c r="G55" s="4506"/>
      <c r="H55" s="4506"/>
      <c r="I55" s="4506"/>
      <c r="J55" s="4506"/>
      <c r="K55" s="3080"/>
    </row>
    <row r="56" spans="1:13" ht="15" customHeight="1">
      <c r="A56" s="4507" t="s">
        <v>4195</v>
      </c>
      <c r="B56" s="4508"/>
      <c r="C56" s="4508"/>
      <c r="D56" s="4508"/>
      <c r="E56" s="4508"/>
      <c r="F56" s="4508"/>
      <c r="G56" s="4508"/>
      <c r="H56" s="4508"/>
      <c r="I56" s="4508"/>
      <c r="J56" s="4508"/>
      <c r="K56" s="4509"/>
    </row>
    <row r="57" spans="1:13" ht="48" customHeight="1">
      <c r="A57" s="3081"/>
      <c r="B57" s="3082"/>
      <c r="C57" s="3083" t="s">
        <v>4196</v>
      </c>
      <c r="D57" s="3084" t="s">
        <v>6272</v>
      </c>
      <c r="E57" s="4521" t="s">
        <v>4212</v>
      </c>
      <c r="F57" s="4522"/>
      <c r="G57" s="4523" t="s">
        <v>4197</v>
      </c>
      <c r="H57" s="4524"/>
      <c r="I57" s="4521" t="s">
        <v>4211</v>
      </c>
      <c r="J57" s="4522"/>
      <c r="K57" s="4525"/>
    </row>
    <row r="58" spans="1:13" ht="15" customHeight="1">
      <c r="A58" s="3085"/>
      <c r="B58" s="3086"/>
      <c r="C58" s="3087">
        <f>SUMIF(C33:C51, "0", H33:H51)</f>
        <v>0</v>
      </c>
      <c r="D58" s="3088">
        <f t="shared" ref="D58:D63" si="4">ROUNDUP(C58*1.1,0)</f>
        <v>0</v>
      </c>
      <c r="E58" s="4527" t="s">
        <v>4198</v>
      </c>
      <c r="F58" s="4528"/>
      <c r="G58" s="4529">
        <v>153314.4</v>
      </c>
      <c r="H58" s="4530"/>
      <c r="I58" s="4531">
        <f t="shared" ref="I58:I63" si="5">D58*G58</f>
        <v>0</v>
      </c>
      <c r="J58" s="4531"/>
      <c r="K58" s="4526"/>
    </row>
    <row r="59" spans="1:13">
      <c r="A59" s="3085"/>
      <c r="B59" s="3086"/>
      <c r="C59" s="3089">
        <f>SUMIF(C33:C51, "1", H33:H51)</f>
        <v>0</v>
      </c>
      <c r="D59" s="3090">
        <f t="shared" si="4"/>
        <v>0</v>
      </c>
      <c r="E59" s="4511" t="s">
        <v>2559</v>
      </c>
      <c r="F59" s="4512"/>
      <c r="G59" s="4513">
        <v>175752</v>
      </c>
      <c r="H59" s="4514"/>
      <c r="I59" s="4515">
        <f t="shared" si="5"/>
        <v>0</v>
      </c>
      <c r="J59" s="4515"/>
      <c r="K59" s="4526"/>
    </row>
    <row r="60" spans="1:13" ht="15" customHeight="1">
      <c r="A60" s="3085"/>
      <c r="B60" s="3086"/>
      <c r="C60" s="3089">
        <f>SUMIF(C33:C51, "2", H33:H51)</f>
        <v>0</v>
      </c>
      <c r="D60" s="3090">
        <f t="shared" si="4"/>
        <v>0</v>
      </c>
      <c r="E60" s="4511" t="s">
        <v>2560</v>
      </c>
      <c r="F60" s="4512"/>
      <c r="G60" s="4513">
        <v>213717.6</v>
      </c>
      <c r="H60" s="4514"/>
      <c r="I60" s="4515">
        <f t="shared" si="5"/>
        <v>0</v>
      </c>
      <c r="J60" s="4515"/>
      <c r="K60" s="4526"/>
    </row>
    <row r="61" spans="1:13">
      <c r="A61" s="3085"/>
      <c r="B61" s="3086"/>
      <c r="C61" s="3089">
        <f>SUMIF(C33:C51, "3", H33:H51)</f>
        <v>0</v>
      </c>
      <c r="D61" s="3090">
        <f t="shared" si="4"/>
        <v>0</v>
      </c>
      <c r="E61" s="4511" t="s">
        <v>2563</v>
      </c>
      <c r="F61" s="4512"/>
      <c r="G61" s="4513">
        <v>276482.40000000002</v>
      </c>
      <c r="H61" s="4514"/>
      <c r="I61" s="4515">
        <f t="shared" si="5"/>
        <v>0</v>
      </c>
      <c r="J61" s="4515"/>
      <c r="K61" s="4526"/>
    </row>
    <row r="62" spans="1:13">
      <c r="A62" s="3085"/>
      <c r="B62" s="3086"/>
      <c r="C62" s="3089">
        <f>SUMIF(C33:C51, "4", H33:H51)</f>
        <v>0</v>
      </c>
      <c r="D62" s="3090">
        <f t="shared" si="4"/>
        <v>0</v>
      </c>
      <c r="E62" s="4511" t="s">
        <v>4199</v>
      </c>
      <c r="F62" s="4512"/>
      <c r="G62" s="4513">
        <v>303489.59999999998</v>
      </c>
      <c r="H62" s="4514"/>
      <c r="I62" s="4515">
        <f t="shared" si="5"/>
        <v>0</v>
      </c>
      <c r="J62" s="4515"/>
      <c r="K62" s="4526"/>
    </row>
    <row r="63" spans="1:13">
      <c r="A63" s="3091"/>
      <c r="B63" s="3092"/>
      <c r="C63" s="3093">
        <f>SUMIF(C33:C51, "5", H33:H51)</f>
        <v>0</v>
      </c>
      <c r="D63" s="3094">
        <f t="shared" si="4"/>
        <v>0</v>
      </c>
      <c r="E63" s="4516" t="s">
        <v>4200</v>
      </c>
      <c r="F63" s="4517"/>
      <c r="G63" s="4518">
        <v>303489.59999999998</v>
      </c>
      <c r="H63" s="4519"/>
      <c r="I63" s="4520">
        <f t="shared" si="5"/>
        <v>0</v>
      </c>
      <c r="J63" s="4520"/>
      <c r="K63" s="3095"/>
    </row>
    <row r="64" spans="1:13" ht="17.25" thickBot="1">
      <c r="A64" s="3096" t="s">
        <v>4201</v>
      </c>
      <c r="B64" s="3097">
        <f>SUM(C58:C63)</f>
        <v>0</v>
      </c>
      <c r="C64" s="3098"/>
      <c r="D64" s="3098">
        <f>SUM(D58:D63)</f>
        <v>0</v>
      </c>
      <c r="E64" s="3099"/>
      <c r="F64" s="3099"/>
      <c r="G64" s="3099"/>
      <c r="H64" s="3099"/>
      <c r="I64" s="3099"/>
      <c r="J64" s="3100" t="s">
        <v>4202</v>
      </c>
      <c r="K64" s="3101">
        <f>SUM(I58:I62)</f>
        <v>0</v>
      </c>
    </row>
    <row r="65" spans="1:11">
      <c r="A65" s="4506"/>
      <c r="B65" s="4506"/>
      <c r="C65" s="4506"/>
      <c r="D65" s="4506"/>
      <c r="E65" s="4506"/>
      <c r="F65" s="4506"/>
      <c r="G65" s="4506"/>
      <c r="H65" s="4506"/>
      <c r="I65" s="4506"/>
      <c r="J65" s="4506"/>
    </row>
    <row r="66" spans="1:11">
      <c r="A66" s="4507" t="s">
        <v>4203</v>
      </c>
      <c r="B66" s="4508"/>
      <c r="C66" s="4508"/>
      <c r="D66" s="4508"/>
      <c r="E66" s="4508"/>
      <c r="F66" s="4508"/>
      <c r="G66" s="4508"/>
      <c r="H66" s="4508"/>
      <c r="I66" s="4508"/>
      <c r="J66" s="4508"/>
      <c r="K66" s="4509"/>
    </row>
    <row r="67" spans="1:11" ht="15" customHeight="1">
      <c r="A67" s="3102"/>
      <c r="B67" s="3103"/>
      <c r="C67" s="3104"/>
      <c r="D67" s="3104"/>
      <c r="E67" s="3104" t="s">
        <v>4204</v>
      </c>
      <c r="F67" s="3104"/>
      <c r="G67" s="3104"/>
      <c r="H67" s="3104"/>
      <c r="I67" s="3104"/>
      <c r="J67" s="3105"/>
      <c r="K67" s="3106">
        <f>J11</f>
        <v>0</v>
      </c>
    </row>
    <row r="68" spans="1:11">
      <c r="A68" s="3107"/>
      <c r="B68" s="3048"/>
      <c r="C68" s="3108"/>
      <c r="D68" s="3108"/>
      <c r="E68" s="3108" t="s">
        <v>4205</v>
      </c>
      <c r="F68" s="3108"/>
      <c r="G68" s="3108"/>
      <c r="H68" s="3108"/>
      <c r="I68" s="3108"/>
      <c r="J68" s="3109"/>
      <c r="K68" s="3106" t="e">
        <f>K54</f>
        <v>#VALUE!</v>
      </c>
    </row>
    <row r="69" spans="1:11" ht="17.25" thickBot="1">
      <c r="A69" s="3110"/>
      <c r="B69" s="3111"/>
      <c r="C69" s="3112"/>
      <c r="D69" s="3112"/>
      <c r="E69" s="3112" t="s">
        <v>4206</v>
      </c>
      <c r="F69" s="3112"/>
      <c r="G69" s="3112"/>
      <c r="H69" s="3112"/>
      <c r="I69" s="3112"/>
      <c r="J69" s="3113"/>
      <c r="K69" s="3114">
        <f>K64</f>
        <v>0</v>
      </c>
    </row>
    <row r="70" spans="1:11" ht="17.25" thickBot="1">
      <c r="A70" s="3115"/>
      <c r="B70" s="3116"/>
      <c r="C70" s="4510" t="s">
        <v>4207</v>
      </c>
      <c r="D70" s="4510"/>
      <c r="E70" s="4510"/>
      <c r="F70" s="4510"/>
      <c r="G70" s="4510"/>
      <c r="H70" s="4510"/>
      <c r="I70" s="4510"/>
      <c r="J70" s="4510"/>
      <c r="K70" s="3117" t="e">
        <f>IF(ISBLANK(J11),MIN(K68:K69),MIN(K67:K69))</f>
        <v>#VALUE!</v>
      </c>
    </row>
    <row r="71" spans="1:11">
      <c r="E71" s="3022"/>
    </row>
    <row r="72" spans="1:11">
      <c r="E72" s="3022"/>
    </row>
    <row r="73" spans="1:11">
      <c r="E73" s="3022"/>
    </row>
    <row r="74" spans="1:11">
      <c r="E74" s="3022"/>
    </row>
    <row r="75" spans="1:11">
      <c r="E75" s="3022"/>
    </row>
    <row r="76" spans="1:11">
      <c r="E76" s="3022"/>
    </row>
    <row r="77" spans="1:11">
      <c r="E77" s="3022"/>
    </row>
    <row r="78" spans="1:11">
      <c r="E78" s="3022"/>
    </row>
    <row r="79" spans="1:11">
      <c r="E79" s="3022"/>
    </row>
  </sheetData>
  <sheetProtection algorithmName="SHA-512" hashValue="AQKmE/f8ly4V64r/A0uWjLSKUGWNUC79JuapvKqXxgDX2TTAl2iU+YK0EenGIWMVtlX5wt/h7h874UTJ3KhzcA==" saltValue="84wv6Jm1mBbonIS37I6ya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648" t="str">
        <f>'Part I-Project Information'!F35</f>
        <v>Roswell Redevelopment Phase I</v>
      </c>
      <c r="E3" s="4649"/>
      <c r="F3" s="4649"/>
      <c r="G3" s="4649"/>
      <c r="H3" s="4649"/>
      <c r="I3" s="4649"/>
      <c r="J3" s="4654" t="s">
        <v>4171</v>
      </c>
      <c r="K3" s="4655"/>
    </row>
    <row r="4" spans="1:11" ht="15" customHeight="1">
      <c r="A4" s="1415" t="s">
        <v>4169</v>
      </c>
      <c r="B4" s="1416"/>
      <c r="C4" s="1417"/>
      <c r="D4" s="4650" t="str">
        <f>CONCATENATE('Part I-Project Information'!F36,", ",'Part I-Project Information'!F39,", GA ",'Part I-Project Information'!J39," (",'Part I-Project Information'!J40," Co.)",)</f>
        <v>151 Oak Street, Roswell, GA 300754584 (Fulton Co.)</v>
      </c>
      <c r="E4" s="4651"/>
      <c r="F4" s="4651"/>
      <c r="G4" s="4651"/>
      <c r="H4" s="4651"/>
      <c r="I4" s="4651"/>
      <c r="J4" s="4656" t="s">
        <v>4210</v>
      </c>
      <c r="K4" s="4657"/>
    </row>
    <row r="5" spans="1:11" ht="15" customHeight="1" thickBot="1">
      <c r="A5" s="1418" t="s">
        <v>4170</v>
      </c>
      <c r="B5" s="1419"/>
      <c r="C5" s="1420"/>
      <c r="D5" s="4652"/>
      <c r="E5" s="4653"/>
      <c r="F5" s="4653"/>
      <c r="G5" s="4653"/>
      <c r="H5" s="4653"/>
      <c r="I5" s="4653"/>
      <c r="J5" s="4658"/>
      <c r="K5" s="4659"/>
    </row>
    <row r="6" spans="1:11" ht="9" customHeight="1" thickBot="1">
      <c r="E6" s="1410"/>
    </row>
    <row r="7" spans="1:11">
      <c r="A7" s="4645" t="s">
        <v>4172</v>
      </c>
      <c r="B7" s="4646"/>
      <c r="C7" s="4646"/>
      <c r="D7" s="4646"/>
      <c r="E7" s="4646"/>
      <c r="F7" s="4646"/>
      <c r="G7" s="4646"/>
      <c r="H7" s="4646"/>
      <c r="I7" s="4646"/>
      <c r="J7" s="4646"/>
      <c r="K7" s="4647"/>
    </row>
    <row r="8" spans="1:11" ht="14.25" customHeight="1">
      <c r="A8" s="1436"/>
      <c r="B8" s="1436"/>
      <c r="C8" s="1450">
        <v>1</v>
      </c>
      <c r="D8" s="1437" t="s">
        <v>4173</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4174</v>
      </c>
      <c r="B10" s="4601"/>
      <c r="C10" s="4601"/>
      <c r="D10" s="4601"/>
      <c r="E10" s="4601"/>
      <c r="F10" s="4601"/>
      <c r="G10" s="4601"/>
      <c r="H10" s="4601"/>
      <c r="I10" s="4601"/>
      <c r="J10" s="4601"/>
      <c r="K10" s="4602"/>
    </row>
    <row r="11" spans="1:11" ht="14.25" customHeight="1">
      <c r="A11" s="1436"/>
      <c r="B11" s="1436"/>
      <c r="C11" s="1450">
        <v>2</v>
      </c>
      <c r="D11" s="1437" t="s">
        <v>4175</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4176</v>
      </c>
      <c r="B13" s="4601"/>
      <c r="C13" s="4601"/>
      <c r="D13" s="4601"/>
      <c r="E13" s="4601"/>
      <c r="F13" s="4601"/>
      <c r="G13" s="4601"/>
      <c r="H13" s="4601"/>
      <c r="I13" s="4601"/>
      <c r="J13" s="4601"/>
      <c r="K13" s="4602"/>
    </row>
    <row r="14" spans="1:11" ht="14.25" customHeight="1">
      <c r="A14" s="1416"/>
      <c r="B14" s="1416"/>
      <c r="C14" s="1451">
        <v>3</v>
      </c>
      <c r="D14" s="1441" t="s">
        <v>4177</v>
      </c>
      <c r="E14" s="1441"/>
      <c r="F14" s="1441"/>
      <c r="G14" s="1441"/>
      <c r="H14" s="1441"/>
      <c r="I14" s="1441"/>
      <c r="J14" s="4579"/>
      <c r="K14" s="4580"/>
    </row>
    <row r="15" spans="1:11" ht="14.25" customHeight="1">
      <c r="A15" s="1416"/>
      <c r="B15" s="1416"/>
      <c r="C15" s="1452">
        <v>4</v>
      </c>
      <c r="D15" s="1416" t="s">
        <v>4178</v>
      </c>
      <c r="E15" s="1416"/>
      <c r="F15" s="1416"/>
      <c r="G15" s="1416"/>
      <c r="H15" s="1416"/>
      <c r="I15" s="1416"/>
      <c r="J15" s="4577"/>
      <c r="K15" s="4578"/>
    </row>
    <row r="16" spans="1:11" ht="14.25" customHeight="1">
      <c r="A16" s="1416"/>
      <c r="B16" s="1416"/>
      <c r="C16" s="1452">
        <v>5</v>
      </c>
      <c r="D16" s="1416" t="s">
        <v>4179</v>
      </c>
      <c r="E16" s="1416"/>
      <c r="F16" s="1416"/>
      <c r="G16" s="1416"/>
      <c r="H16" s="1416"/>
      <c r="I16" s="1416"/>
      <c r="J16" s="4577"/>
      <c r="K16" s="4578"/>
    </row>
    <row r="17" spans="1:13" ht="14.25" customHeight="1">
      <c r="A17" s="1436"/>
      <c r="B17" s="1436"/>
      <c r="C17" s="1453">
        <v>6</v>
      </c>
      <c r="D17" s="1419" t="s">
        <v>4180</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4181</v>
      </c>
      <c r="E19" s="1441"/>
      <c r="F19" s="1441"/>
      <c r="G19" s="1441"/>
      <c r="H19" s="1441"/>
      <c r="I19" s="1441"/>
      <c r="J19" s="4589" t="str">
        <f>IF(J17="No",J14-J15,IF(J17="Yes",J14-J15-J16,"Error"))</f>
        <v>Error</v>
      </c>
      <c r="K19" s="4590"/>
    </row>
    <row r="20" spans="1:13" ht="14.25" customHeight="1">
      <c r="A20" s="1436"/>
      <c r="B20" s="1436"/>
      <c r="C20" s="1453">
        <v>8</v>
      </c>
      <c r="D20" s="1419" t="s">
        <v>4182</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4183</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4214</v>
      </c>
      <c r="B30" s="4604"/>
      <c r="C30" s="4604"/>
      <c r="D30" s="4604"/>
      <c r="E30" s="4604"/>
      <c r="F30" s="4604"/>
      <c r="G30" s="4604"/>
      <c r="H30" s="4604"/>
      <c r="I30" s="4604"/>
      <c r="J30" s="4604"/>
      <c r="K30" s="4605"/>
    </row>
    <row r="31" spans="1:13">
      <c r="A31" s="1434"/>
      <c r="B31" s="4606" t="s">
        <v>4171</v>
      </c>
      <c r="C31" s="4606"/>
      <c r="D31" s="4606"/>
      <c r="E31" s="4606"/>
      <c r="F31" s="4606"/>
      <c r="G31" s="4638" t="s">
        <v>4185</v>
      </c>
      <c r="H31" s="4639"/>
      <c r="I31" s="4639"/>
      <c r="J31" s="4639"/>
      <c r="K31" s="4640"/>
    </row>
    <row r="32" spans="1:13" ht="56.25" customHeight="1">
      <c r="A32" s="1435"/>
      <c r="B32" s="1454" t="s">
        <v>4213</v>
      </c>
      <c r="C32" s="1455" t="s">
        <v>4209</v>
      </c>
      <c r="D32" s="1455" t="s">
        <v>4208</v>
      </c>
      <c r="E32" s="4641" t="s">
        <v>6312</v>
      </c>
      <c r="F32" s="4642"/>
      <c r="G32" s="1456" t="s">
        <v>4186</v>
      </c>
      <c r="H32" s="1456" t="s">
        <v>4187</v>
      </c>
      <c r="J32" s="1456" t="s">
        <v>4188</v>
      </c>
      <c r="K32" s="1456" t="s">
        <v>4189</v>
      </c>
      <c r="L32" s="4598" t="s">
        <v>4190</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4191</v>
      </c>
      <c r="H52" s="1458" t="e">
        <f>SUM(H33:H51)</f>
        <v>#VALUE!</v>
      </c>
      <c r="I52" s="1441"/>
      <c r="J52" s="1447" t="s">
        <v>4192</v>
      </c>
      <c r="K52" s="1443" t="e">
        <f>SUM(K33:K51)</f>
        <v>#VALUE!</v>
      </c>
      <c r="L52" s="4598"/>
      <c r="M52" s="4598"/>
    </row>
    <row r="53" spans="1:13" ht="15" customHeight="1">
      <c r="A53" s="1434"/>
      <c r="B53" s="1448"/>
      <c r="C53" s="4620" t="s">
        <v>4193</v>
      </c>
      <c r="D53" s="4620"/>
      <c r="E53" s="4620"/>
      <c r="F53" s="4620"/>
      <c r="G53" s="4620"/>
      <c r="H53" s="4620"/>
      <c r="I53" s="4620"/>
      <c r="J53" s="4621"/>
      <c r="K53" s="1449" t="str">
        <f>IF(J17="no",0,IF(J17="yes",J16,"Error"))</f>
        <v>Error</v>
      </c>
      <c r="L53" s="4598"/>
      <c r="M53" s="4598"/>
    </row>
    <row r="54" spans="1:13" ht="15" customHeight="1" thickBot="1">
      <c r="A54" s="1434"/>
      <c r="B54" s="1448"/>
      <c r="C54" s="4622" t="s">
        <v>4194</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4195</v>
      </c>
      <c r="B56" s="4608"/>
      <c r="C56" s="4608"/>
      <c r="D56" s="4608"/>
      <c r="E56" s="4608"/>
      <c r="F56" s="4608"/>
      <c r="G56" s="4608"/>
      <c r="H56" s="4608"/>
      <c r="I56" s="4608"/>
      <c r="J56" s="4608"/>
      <c r="K56" s="4609"/>
    </row>
    <row r="57" spans="1:13" ht="48" customHeight="1">
      <c r="A57" s="1431"/>
      <c r="B57" s="1422"/>
      <c r="C57" s="1433" t="s">
        <v>4196</v>
      </c>
      <c r="D57" s="1555" t="s">
        <v>6272</v>
      </c>
      <c r="E57" s="4625" t="s">
        <v>4212</v>
      </c>
      <c r="F57" s="4626"/>
      <c r="G57" s="4627" t="s">
        <v>4197</v>
      </c>
      <c r="H57" s="4628"/>
      <c r="I57" s="4625" t="s">
        <v>4211</v>
      </c>
      <c r="J57" s="4626"/>
      <c r="K57" s="4629"/>
    </row>
    <row r="58" spans="1:13" ht="15" customHeight="1">
      <c r="A58" s="1532"/>
      <c r="B58" s="1552"/>
      <c r="C58" s="1444">
        <f>SUMIF(C33:C51, "0", H33:H51)</f>
        <v>0</v>
      </c>
      <c r="D58" s="1556">
        <f t="shared" ref="D58:D63" si="4">ROUNDUP(C58*1.1,0)</f>
        <v>0</v>
      </c>
      <c r="E58" s="4631" t="s">
        <v>4198</v>
      </c>
      <c r="F58" s="4632"/>
      <c r="G58" s="4633">
        <v>153314.4</v>
      </c>
      <c r="H58" s="4634"/>
      <c r="I58" s="4635">
        <f t="shared" ref="I58:I63" si="5">D58*G58</f>
        <v>0</v>
      </c>
      <c r="J58" s="4635"/>
      <c r="K58" s="4630"/>
    </row>
    <row r="59" spans="1:13">
      <c r="A59" s="1532"/>
      <c r="B59" s="1552"/>
      <c r="C59" s="1445">
        <f>SUMIF(C33:C51, "1", H33:H51)</f>
        <v>0</v>
      </c>
      <c r="D59" s="1557">
        <f t="shared" si="4"/>
        <v>0</v>
      </c>
      <c r="E59" s="4616" t="s">
        <v>2559</v>
      </c>
      <c r="F59" s="4617"/>
      <c r="G59" s="4618">
        <v>175752</v>
      </c>
      <c r="H59" s="4619"/>
      <c r="I59" s="4597">
        <f t="shared" si="5"/>
        <v>0</v>
      </c>
      <c r="J59" s="4597"/>
      <c r="K59" s="4630"/>
    </row>
    <row r="60" spans="1:13" ht="15" customHeight="1">
      <c r="A60" s="1532"/>
      <c r="B60" s="1552"/>
      <c r="C60" s="1445">
        <f>SUMIF(C33:C51, "2", H33:H51)</f>
        <v>0</v>
      </c>
      <c r="D60" s="1557">
        <f t="shared" si="4"/>
        <v>0</v>
      </c>
      <c r="E60" s="4616" t="s">
        <v>2560</v>
      </c>
      <c r="F60" s="4617"/>
      <c r="G60" s="4618">
        <v>213717.6</v>
      </c>
      <c r="H60" s="4619"/>
      <c r="I60" s="4597">
        <f t="shared" si="5"/>
        <v>0</v>
      </c>
      <c r="J60" s="4597"/>
      <c r="K60" s="4630"/>
    </row>
    <row r="61" spans="1:13">
      <c r="A61" s="1532"/>
      <c r="B61" s="1552"/>
      <c r="C61" s="1445">
        <f>SUMIF(C33:C51, "3", H33:H51)</f>
        <v>0</v>
      </c>
      <c r="D61" s="1557">
        <f t="shared" si="4"/>
        <v>0</v>
      </c>
      <c r="E61" s="4616" t="s">
        <v>2563</v>
      </c>
      <c r="F61" s="4617"/>
      <c r="G61" s="4618">
        <v>276482.40000000002</v>
      </c>
      <c r="H61" s="4619"/>
      <c r="I61" s="4597">
        <f t="shared" si="5"/>
        <v>0</v>
      </c>
      <c r="J61" s="4597"/>
      <c r="K61" s="4630"/>
    </row>
    <row r="62" spans="1:13">
      <c r="A62" s="1532"/>
      <c r="B62" s="1552"/>
      <c r="C62" s="1445">
        <f>SUMIF(C33:C51, "4", H33:H51)</f>
        <v>0</v>
      </c>
      <c r="D62" s="1557">
        <f t="shared" si="4"/>
        <v>0</v>
      </c>
      <c r="E62" s="4616" t="s">
        <v>4199</v>
      </c>
      <c r="F62" s="4617"/>
      <c r="G62" s="4618">
        <v>303489.59999999998</v>
      </c>
      <c r="H62" s="4619"/>
      <c r="I62" s="4597">
        <f t="shared" si="5"/>
        <v>0</v>
      </c>
      <c r="J62" s="4597"/>
      <c r="K62" s="4630"/>
    </row>
    <row r="63" spans="1:13">
      <c r="A63" s="1553"/>
      <c r="B63" s="1554"/>
      <c r="C63" s="1446">
        <f>SUMIF(C33:C51, "5", H33:H51)</f>
        <v>0</v>
      </c>
      <c r="D63" s="1558">
        <f t="shared" si="4"/>
        <v>0</v>
      </c>
      <c r="E63" s="4610" t="s">
        <v>4200</v>
      </c>
      <c r="F63" s="4611"/>
      <c r="G63" s="4612">
        <v>303489.59999999998</v>
      </c>
      <c r="H63" s="4613"/>
      <c r="I63" s="4614">
        <f t="shared" si="5"/>
        <v>0</v>
      </c>
      <c r="J63" s="4614"/>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15"/>
      <c r="B65" s="4615"/>
      <c r="C65" s="4615"/>
      <c r="D65" s="4615"/>
      <c r="E65" s="4615"/>
      <c r="F65" s="4615"/>
      <c r="G65" s="4615"/>
      <c r="H65" s="4615"/>
      <c r="I65" s="4615"/>
      <c r="J65" s="4615"/>
    </row>
    <row r="66" spans="1:11">
      <c r="A66" s="4607" t="s">
        <v>4203</v>
      </c>
      <c r="B66" s="4608"/>
      <c r="C66" s="4608"/>
      <c r="D66" s="4608"/>
      <c r="E66" s="4608"/>
      <c r="F66" s="4608"/>
      <c r="G66" s="4608"/>
      <c r="H66" s="4608"/>
      <c r="I66" s="4608"/>
      <c r="J66" s="4608"/>
      <c r="K66" s="4609"/>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599" t="s">
        <v>4207</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Roswell Redevelopment Phase I</v>
      </c>
    </row>
    <row r="2" spans="1:11">
      <c r="A2" s="636" t="s">
        <v>3002</v>
      </c>
      <c r="H2" s="699" t="str">
        <f>'Sensitivity Analysis'!E8</f>
        <v>2021-018</v>
      </c>
    </row>
    <row r="3" spans="1:11" ht="3" customHeight="1"/>
    <row r="4" spans="1:11" ht="51.75" customHeight="1">
      <c r="A4" s="4660" t="s">
        <v>3098</v>
      </c>
      <c r="B4" s="4660"/>
      <c r="C4" s="4660"/>
      <c r="D4" s="4660"/>
      <c r="E4" s="4660"/>
      <c r="F4" s="4660"/>
      <c r="G4" s="4660"/>
      <c r="H4" s="4660"/>
      <c r="J4" s="1077">
        <f>SUM('Part VII-Pro Forma'!B15:B17)/12</f>
        <v>62739.322596000005</v>
      </c>
      <c r="K4" s="1076" t="s">
        <v>3815</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6" t="s">
        <v>3095</v>
      </c>
      <c r="C11" s="4666"/>
      <c r="D11" s="4666"/>
      <c r="E11" s="4666"/>
      <c r="F11" s="4666"/>
      <c r="G11" s="4667">
        <f>'Part III-Sources of Funds'!I51+'Part III-Sources of Funds'!I52</f>
        <v>15500000</v>
      </c>
      <c r="H11" s="4667"/>
    </row>
    <row r="12" spans="1:11" ht="1.5" customHeight="1">
      <c r="G12" s="712"/>
      <c r="H12" s="712"/>
    </row>
    <row r="13" spans="1:11" ht="26.25" customHeight="1">
      <c r="A13" s="743" t="s">
        <v>1895</v>
      </c>
      <c r="B13" s="4666" t="s">
        <v>3096</v>
      </c>
      <c r="C13" s="4666"/>
      <c r="D13" s="4666"/>
      <c r="E13" s="4666"/>
      <c r="F13" s="4666"/>
      <c r="G13" s="4668" t="s">
        <v>2933</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83" t="s">
        <v>2625</v>
      </c>
      <c r="H18" s="4483"/>
    </row>
    <row r="19" spans="1:8" ht="12" hidden="1" customHeight="1">
      <c r="B19" s="4483"/>
      <c r="C19" s="4483"/>
      <c r="D19" s="4483"/>
      <c r="E19" s="4483"/>
      <c r="F19" s="4483"/>
      <c r="G19" s="4483"/>
      <c r="H19" s="4483"/>
    </row>
    <row r="20" spans="1:8" ht="13.5" customHeight="1"/>
    <row r="21" spans="1:8" ht="12" customHeight="1">
      <c r="A21" s="636" t="s">
        <v>3006</v>
      </c>
    </row>
    <row r="22" spans="1:8" ht="3" customHeight="1"/>
    <row r="23" spans="1:8" ht="24.75" customHeight="1">
      <c r="A23" s="4669" t="s">
        <v>4289</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4294</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4292</v>
      </c>
      <c r="E33" s="4660" t="s">
        <v>3242</v>
      </c>
      <c r="F33" s="4660"/>
      <c r="G33" s="4660"/>
      <c r="H33" s="4660"/>
    </row>
    <row r="34" spans="1:11" ht="12.75" customHeight="1">
      <c r="C34" s="1515"/>
      <c r="D34" s="1513" t="s">
        <v>3104</v>
      </c>
      <c r="E34" s="4663" t="s">
        <v>3243</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4292</v>
      </c>
      <c r="E38" s="4660" t="s">
        <v>3242</v>
      </c>
      <c r="F38" s="4660"/>
      <c r="G38" s="4660"/>
      <c r="H38" s="4660"/>
    </row>
    <row r="39" spans="1:11" ht="12.75" customHeight="1">
      <c r="C39" s="1515"/>
      <c r="D39" s="1513" t="s">
        <v>3104</v>
      </c>
      <c r="E39" s="4663" t="s">
        <v>3243</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4292</v>
      </c>
      <c r="E43" s="4660" t="s">
        <v>3242</v>
      </c>
      <c r="F43" s="4660"/>
      <c r="G43" s="4660"/>
      <c r="H43" s="4660"/>
    </row>
    <row r="44" spans="1:11" ht="12.75" customHeight="1">
      <c r="C44" s="1515"/>
      <c r="D44" s="1513" t="s">
        <v>3104</v>
      </c>
      <c r="E44" s="4663" t="s">
        <v>3243</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4292</v>
      </c>
      <c r="E50" s="4660" t="s">
        <v>3242</v>
      </c>
      <c r="F50" s="4660"/>
      <c r="G50" s="4660"/>
      <c r="H50" s="4660"/>
    </row>
    <row r="51" spans="1:11" ht="12.75" customHeight="1">
      <c r="C51" s="1515"/>
      <c r="D51" s="1512" t="s">
        <v>3104</v>
      </c>
      <c r="E51" s="4664" t="s">
        <v>3243</v>
      </c>
      <c r="F51" s="4664"/>
      <c r="G51" s="4664"/>
      <c r="H51" s="4664"/>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4292</v>
      </c>
      <c r="E55" s="4660" t="s">
        <v>3242</v>
      </c>
      <c r="F55" s="4660"/>
      <c r="G55" s="4660"/>
      <c r="H55" s="4660"/>
    </row>
    <row r="56" spans="1:11" ht="12.75" customHeight="1">
      <c r="C56" s="1515"/>
      <c r="D56" s="1513" t="s">
        <v>3104</v>
      </c>
      <c r="E56" s="4663" t="s">
        <v>3243</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4292</v>
      </c>
      <c r="E60" s="4660" t="s">
        <v>3242</v>
      </c>
      <c r="F60" s="4660"/>
      <c r="G60" s="4660"/>
      <c r="H60" s="4660"/>
    </row>
    <row r="61" spans="1:11" ht="12.75" customHeight="1">
      <c r="C61" s="1515"/>
      <c r="D61" s="1513" t="s">
        <v>3104</v>
      </c>
      <c r="E61" s="4663" t="s">
        <v>3243</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4292</v>
      </c>
      <c r="E67" s="4660" t="s">
        <v>3242</v>
      </c>
      <c r="F67" s="4660"/>
      <c r="G67" s="4660"/>
      <c r="H67" s="4660"/>
    </row>
    <row r="68" spans="1:8" ht="12.75" customHeight="1">
      <c r="C68" s="1515"/>
      <c r="D68" s="1512" t="s">
        <v>3104</v>
      </c>
      <c r="E68" s="4664" t="s">
        <v>3243</v>
      </c>
      <c r="F68" s="4664"/>
      <c r="G68" s="4664"/>
      <c r="H68" s="4664"/>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4292</v>
      </c>
      <c r="E72" s="4660" t="s">
        <v>3242</v>
      </c>
      <c r="F72" s="4660"/>
      <c r="G72" s="4660"/>
      <c r="H72" s="4660"/>
    </row>
    <row r="73" spans="1:8" ht="12.75" customHeight="1">
      <c r="C73" s="1515"/>
      <c r="D73" s="1513" t="s">
        <v>3104</v>
      </c>
      <c r="E73" s="4663" t="s">
        <v>3243</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4292</v>
      </c>
      <c r="E77" s="4660" t="s">
        <v>3242</v>
      </c>
      <c r="F77" s="4660"/>
      <c r="G77" s="4660"/>
      <c r="H77" s="4660"/>
    </row>
    <row r="78" spans="1:8" ht="12.75" customHeight="1">
      <c r="C78" s="1515"/>
      <c r="D78" s="1513" t="s">
        <v>3104</v>
      </c>
      <c r="E78" s="4663" t="s">
        <v>3243</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4292</v>
      </c>
      <c r="E84" s="4660" t="s">
        <v>3242</v>
      </c>
      <c r="F84" s="4660"/>
      <c r="G84" s="4660"/>
      <c r="H84" s="4660"/>
    </row>
    <row r="85" spans="3:8" ht="12.75" customHeight="1">
      <c r="C85" s="1515"/>
      <c r="D85" s="1512" t="s">
        <v>3104</v>
      </c>
      <c r="E85" s="4664" t="s">
        <v>3243</v>
      </c>
      <c r="F85" s="4664"/>
      <c r="G85" s="4664"/>
      <c r="H85" s="4664"/>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4292</v>
      </c>
      <c r="E89" s="4660" t="s">
        <v>3242</v>
      </c>
      <c r="F89" s="4660"/>
      <c r="G89" s="4660"/>
      <c r="H89" s="4660"/>
    </row>
    <row r="90" spans="3:8" ht="12.75" customHeight="1">
      <c r="C90" s="1515"/>
      <c r="D90" s="1513" t="s">
        <v>3104</v>
      </c>
      <c r="E90" s="4663" t="s">
        <v>3243</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4292</v>
      </c>
      <c r="E94" s="4660" t="s">
        <v>3242</v>
      </c>
      <c r="F94" s="4660"/>
      <c r="G94" s="4660"/>
      <c r="H94" s="4660"/>
    </row>
    <row r="95" spans="3:8" ht="12.75" customHeight="1">
      <c r="C95" s="1515"/>
      <c r="D95" s="1513" t="s">
        <v>3104</v>
      </c>
      <c r="E95" s="4663" t="s">
        <v>3243</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3242</v>
      </c>
      <c r="F101" s="4660"/>
      <c r="G101" s="4660"/>
      <c r="H101" s="4660"/>
    </row>
    <row r="102" spans="1:11" ht="12.75" customHeight="1">
      <c r="D102" s="749" t="s">
        <v>3104</v>
      </c>
      <c r="E102" s="4660" t="s">
        <v>3243</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4295</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4292</v>
      </c>
      <c r="E112" s="4660" t="s">
        <v>3242</v>
      </c>
      <c r="F112" s="4660"/>
      <c r="G112" s="4660"/>
      <c r="H112" s="4660"/>
    </row>
    <row r="113" spans="1:8" ht="12.75" customHeight="1">
      <c r="C113" s="1515"/>
      <c r="D113" s="1513" t="s">
        <v>3104</v>
      </c>
      <c r="E113" s="4663" t="s">
        <v>3243</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4292</v>
      </c>
      <c r="E117" s="4660" t="s">
        <v>3242</v>
      </c>
      <c r="F117" s="4660"/>
      <c r="G117" s="4660"/>
      <c r="H117" s="4660"/>
    </row>
    <row r="118" spans="1:8" ht="12.75" customHeight="1">
      <c r="C118" s="1515"/>
      <c r="D118" s="1513" t="s">
        <v>3104</v>
      </c>
      <c r="E118" s="4663" t="s">
        <v>3243</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4292</v>
      </c>
      <c r="E122" s="4660" t="s">
        <v>3242</v>
      </c>
      <c r="F122" s="4660"/>
      <c r="G122" s="4660"/>
      <c r="H122" s="4660"/>
    </row>
    <row r="123" spans="1:8" ht="12.75" customHeight="1">
      <c r="C123" s="1515"/>
      <c r="D123" s="1513" t="s">
        <v>3104</v>
      </c>
      <c r="E123" s="4663" t="s">
        <v>3243</v>
      </c>
      <c r="F123" s="4663"/>
      <c r="G123" s="4663"/>
      <c r="H123" s="4663"/>
    </row>
    <row r="124" spans="1:8" ht="6" customHeight="1">
      <c r="D124" s="746"/>
      <c r="E124" s="1511"/>
      <c r="F124" s="1511"/>
      <c r="G124" s="1511"/>
      <c r="H124" s="1511"/>
    </row>
    <row r="125" spans="1:8">
      <c r="A125" s="717" t="s">
        <v>3100</v>
      </c>
      <c r="B125" s="744">
        <f>IF('Part VI-Revenues &amp; Expenses'!$L$61=0,"",'Part VI-Revenues &amp; Expenses'!$L$61)</f>
        <v>10</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4292</v>
      </c>
      <c r="E129" s="4660" t="s">
        <v>3242</v>
      </c>
      <c r="F129" s="4660"/>
      <c r="G129" s="4660"/>
      <c r="H129" s="4660"/>
    </row>
    <row r="130" spans="1:8" ht="12.75" customHeight="1">
      <c r="C130" s="1515"/>
      <c r="D130" s="1512" t="s">
        <v>3104</v>
      </c>
      <c r="E130" s="4664" t="s">
        <v>3243</v>
      </c>
      <c r="F130" s="4664"/>
      <c r="G130" s="4664"/>
      <c r="H130" s="4664"/>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4292</v>
      </c>
      <c r="E134" s="4660" t="s">
        <v>3242</v>
      </c>
      <c r="F134" s="4660"/>
      <c r="G134" s="4660"/>
      <c r="H134" s="4660"/>
    </row>
    <row r="135" spans="1:8" ht="12.75" customHeight="1">
      <c r="C135" s="1515"/>
      <c r="D135" s="1513" t="s">
        <v>3104</v>
      </c>
      <c r="E135" s="4663" t="s">
        <v>3243</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4292</v>
      </c>
      <c r="E139" s="4660" t="s">
        <v>3242</v>
      </c>
      <c r="F139" s="4660"/>
      <c r="G139" s="4660"/>
      <c r="H139" s="4660"/>
    </row>
    <row r="140" spans="1:8" ht="12.75" customHeight="1">
      <c r="C140" s="1515"/>
      <c r="D140" s="1513" t="s">
        <v>3104</v>
      </c>
      <c r="E140" s="4663" t="s">
        <v>3243</v>
      </c>
      <c r="F140" s="4663"/>
      <c r="G140" s="4663"/>
      <c r="H140" s="4663"/>
    </row>
    <row r="141" spans="1:8" ht="6" customHeight="1">
      <c r="D141" s="746"/>
      <c r="E141" s="1511"/>
      <c r="F141" s="1511"/>
      <c r="G141" s="1511"/>
      <c r="H141" s="1511"/>
    </row>
    <row r="142" spans="1:8">
      <c r="A142" s="717" t="s">
        <v>3100</v>
      </c>
      <c r="B142" s="744">
        <f>IF('Part VI-Revenues &amp; Expenses'!$M$61=0,"",'Part VI-Revenues &amp; Expenses'!$M$61)</f>
        <v>6</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4292</v>
      </c>
      <c r="E146" s="4660" t="s">
        <v>3242</v>
      </c>
      <c r="F146" s="4660"/>
      <c r="G146" s="4660"/>
      <c r="H146" s="4660"/>
    </row>
    <row r="147" spans="1:8" ht="12.75" customHeight="1">
      <c r="C147" s="1515"/>
      <c r="D147" s="1512" t="s">
        <v>3104</v>
      </c>
      <c r="E147" s="4664" t="s">
        <v>3243</v>
      </c>
      <c r="F147" s="4664"/>
      <c r="G147" s="4664"/>
      <c r="H147" s="4664"/>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4292</v>
      </c>
      <c r="E151" s="4660" t="s">
        <v>3242</v>
      </c>
      <c r="F151" s="4660"/>
      <c r="G151" s="4660"/>
      <c r="H151" s="4660"/>
    </row>
    <row r="152" spans="1:8" ht="12.75" customHeight="1">
      <c r="C152" s="1515"/>
      <c r="D152" s="1513" t="s">
        <v>3104</v>
      </c>
      <c r="E152" s="4663" t="s">
        <v>3243</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4292</v>
      </c>
      <c r="E156" s="4660" t="s">
        <v>3242</v>
      </c>
      <c r="F156" s="4660"/>
      <c r="G156" s="4660"/>
      <c r="H156" s="4660"/>
    </row>
    <row r="157" spans="1:8" ht="12.75" customHeight="1">
      <c r="C157" s="1515"/>
      <c r="D157" s="1513" t="s">
        <v>3104</v>
      </c>
      <c r="E157" s="4663" t="s">
        <v>3243</v>
      </c>
      <c r="F157" s="4663"/>
      <c r="G157" s="4663"/>
      <c r="H157" s="4663"/>
    </row>
    <row r="158" spans="1:8" ht="6" customHeight="1">
      <c r="D158" s="746"/>
      <c r="E158" s="1511"/>
      <c r="F158" s="1511"/>
      <c r="G158" s="1511"/>
      <c r="H158" s="1511"/>
    </row>
    <row r="159" spans="1:8">
      <c r="A159" s="717" t="s">
        <v>3100</v>
      </c>
      <c r="B159" s="744">
        <f>IF('Part VI-Revenues &amp; Expenses'!$N$61=0,"",'Part VI-Revenues &amp; Expenses'!$N$61)</f>
        <v>4</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4292</v>
      </c>
      <c r="E163" s="4660" t="s">
        <v>3242</v>
      </c>
      <c r="F163" s="4660"/>
      <c r="G163" s="4660"/>
      <c r="H163" s="4660"/>
    </row>
    <row r="164" spans="1:8" ht="12.75" customHeight="1">
      <c r="C164" s="1515"/>
      <c r="D164" s="1512" t="s">
        <v>3104</v>
      </c>
      <c r="E164" s="4664" t="s">
        <v>3243</v>
      </c>
      <c r="F164" s="4664"/>
      <c r="G164" s="4664"/>
      <c r="H164" s="4664"/>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4292</v>
      </c>
      <c r="E168" s="4660" t="s">
        <v>3242</v>
      </c>
      <c r="F168" s="4660"/>
      <c r="G168" s="4660"/>
      <c r="H168" s="4660"/>
    </row>
    <row r="169" spans="1:8" ht="12.75" customHeight="1">
      <c r="C169" s="1515"/>
      <c r="D169" s="1513" t="s">
        <v>3104</v>
      </c>
      <c r="E169" s="4663" t="s">
        <v>3243</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4292</v>
      </c>
      <c r="E173" s="4660" t="s">
        <v>3242</v>
      </c>
      <c r="F173" s="4660"/>
      <c r="G173" s="4660"/>
      <c r="H173" s="4660"/>
    </row>
    <row r="174" spans="1:8" ht="12.75" customHeight="1">
      <c r="C174" s="1515"/>
      <c r="D174" s="1513" t="s">
        <v>3104</v>
      </c>
      <c r="E174" s="4663" t="s">
        <v>3243</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3242</v>
      </c>
      <c r="F180" s="4660"/>
      <c r="G180" s="4660"/>
      <c r="H180" s="4660"/>
    </row>
    <row r="181" spans="1:11" ht="12.75" customHeight="1">
      <c r="D181" s="749" t="s">
        <v>3104</v>
      </c>
      <c r="E181" s="4660" t="s">
        <v>3243</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4296</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4292</v>
      </c>
      <c r="E191" s="4660" t="s">
        <v>3242</v>
      </c>
      <c r="F191" s="4660"/>
      <c r="G191" s="4660"/>
      <c r="H191" s="4660"/>
    </row>
    <row r="192" spans="1:11" ht="12.75" customHeight="1">
      <c r="C192" s="1515"/>
      <c r="D192" s="1513" t="s">
        <v>3104</v>
      </c>
      <c r="E192" s="4663" t="s">
        <v>3243</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4292</v>
      </c>
      <c r="E196" s="4660" t="s">
        <v>3242</v>
      </c>
      <c r="F196" s="4660"/>
      <c r="G196" s="4660"/>
      <c r="H196" s="4660"/>
    </row>
    <row r="197" spans="1:8" ht="12.75" customHeight="1">
      <c r="C197" s="1515"/>
      <c r="D197" s="1513" t="s">
        <v>3104</v>
      </c>
      <c r="E197" s="4663" t="s">
        <v>3243</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4292</v>
      </c>
      <c r="E201" s="4660" t="s">
        <v>3242</v>
      </c>
      <c r="F201" s="4660"/>
      <c r="G201" s="4660"/>
      <c r="H201" s="4660"/>
    </row>
    <row r="202" spans="1:8" ht="12.75" customHeight="1">
      <c r="C202" s="1515"/>
      <c r="D202" s="1513" t="s">
        <v>3104</v>
      </c>
      <c r="E202" s="4663" t="s">
        <v>3243</v>
      </c>
      <c r="F202" s="4663"/>
      <c r="G202" s="4663"/>
      <c r="H202" s="4663"/>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4292</v>
      </c>
      <c r="E208" s="4660" t="s">
        <v>3242</v>
      </c>
      <c r="F208" s="4660"/>
      <c r="G208" s="4660"/>
      <c r="H208" s="4660"/>
    </row>
    <row r="209" spans="1:8" ht="12.75" customHeight="1">
      <c r="C209" s="1515"/>
      <c r="D209" s="1512" t="s">
        <v>3104</v>
      </c>
      <c r="E209" s="4664" t="s">
        <v>3243</v>
      </c>
      <c r="F209" s="4664"/>
      <c r="G209" s="4664"/>
      <c r="H209" s="4664"/>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4292</v>
      </c>
      <c r="E213" s="4660" t="s">
        <v>3242</v>
      </c>
      <c r="F213" s="4660"/>
      <c r="G213" s="4660"/>
      <c r="H213" s="4660"/>
    </row>
    <row r="214" spans="1:8" ht="12.75" customHeight="1">
      <c r="C214" s="1515"/>
      <c r="D214" s="1513" t="s">
        <v>3104</v>
      </c>
      <c r="E214" s="4663" t="s">
        <v>3243</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4292</v>
      </c>
      <c r="E218" s="4660" t="s">
        <v>3242</v>
      </c>
      <c r="F218" s="4660"/>
      <c r="G218" s="4660"/>
      <c r="H218" s="4660"/>
    </row>
    <row r="219" spans="1:8" ht="12.75" customHeight="1">
      <c r="C219" s="1515"/>
      <c r="D219" s="1513" t="s">
        <v>3104</v>
      </c>
      <c r="E219" s="4663" t="s">
        <v>3243</v>
      </c>
      <c r="F219" s="4663"/>
      <c r="G219" s="4663"/>
      <c r="H219" s="4663"/>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4292</v>
      </c>
      <c r="E225" s="4660" t="s">
        <v>3242</v>
      </c>
      <c r="F225" s="4660"/>
      <c r="G225" s="4660"/>
      <c r="H225" s="4660"/>
    </row>
    <row r="226" spans="1:8" ht="12.75" customHeight="1">
      <c r="C226" s="1515"/>
      <c r="D226" s="1512" t="s">
        <v>3104</v>
      </c>
      <c r="E226" s="4664" t="s">
        <v>3243</v>
      </c>
      <c r="F226" s="4664"/>
      <c r="G226" s="4664"/>
      <c r="H226" s="4664"/>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4292</v>
      </c>
      <c r="E230" s="4660" t="s">
        <v>3242</v>
      </c>
      <c r="F230" s="4660"/>
      <c r="G230" s="4660"/>
      <c r="H230" s="4660"/>
    </row>
    <row r="231" spans="1:8" ht="12.75" customHeight="1">
      <c r="C231" s="1515"/>
      <c r="D231" s="1513" t="s">
        <v>3104</v>
      </c>
      <c r="E231" s="4663" t="s">
        <v>3243</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4292</v>
      </c>
      <c r="E235" s="4660" t="s">
        <v>3242</v>
      </c>
      <c r="F235" s="4660"/>
      <c r="G235" s="4660"/>
      <c r="H235" s="4660"/>
    </row>
    <row r="236" spans="1:8" ht="12.75" customHeight="1">
      <c r="C236" s="1515"/>
      <c r="D236" s="1513" t="s">
        <v>3104</v>
      </c>
      <c r="E236" s="4663" t="s">
        <v>3243</v>
      </c>
      <c r="F236" s="4663"/>
      <c r="G236" s="4663"/>
      <c r="H236" s="4663"/>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4292</v>
      </c>
      <c r="E242" s="4660" t="s">
        <v>3242</v>
      </c>
      <c r="F242" s="4660"/>
      <c r="G242" s="4660"/>
      <c r="H242" s="4660"/>
    </row>
    <row r="243" spans="1:8" ht="12.75" customHeight="1">
      <c r="C243" s="1515"/>
      <c r="D243" s="1512" t="s">
        <v>3104</v>
      </c>
      <c r="E243" s="4664" t="s">
        <v>3243</v>
      </c>
      <c r="F243" s="4664"/>
      <c r="G243" s="4664"/>
      <c r="H243" s="4664"/>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4292</v>
      </c>
      <c r="E247" s="4660" t="s">
        <v>3242</v>
      </c>
      <c r="F247" s="4660"/>
      <c r="G247" s="4660"/>
      <c r="H247" s="4660"/>
    </row>
    <row r="248" spans="1:8" ht="12.75" customHeight="1">
      <c r="C248" s="1515"/>
      <c r="D248" s="1513" t="s">
        <v>3104</v>
      </c>
      <c r="E248" s="4663" t="s">
        <v>3243</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4292</v>
      </c>
      <c r="E252" s="4660" t="s">
        <v>3242</v>
      </c>
      <c r="F252" s="4660"/>
      <c r="G252" s="4660"/>
      <c r="H252" s="4660"/>
    </row>
    <row r="253" spans="1:8" ht="12.75" customHeight="1">
      <c r="C253" s="1515"/>
      <c r="D253" s="1513" t="s">
        <v>3104</v>
      </c>
      <c r="E253" s="4663" t="s">
        <v>3243</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3242</v>
      </c>
      <c r="F259" s="4660"/>
      <c r="G259" s="4660"/>
      <c r="H259" s="4660"/>
    </row>
    <row r="260" spans="1:11" ht="12.75" customHeight="1">
      <c r="D260" s="749" t="s">
        <v>3104</v>
      </c>
      <c r="E260" s="4660" t="s">
        <v>3243</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4293</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4292</v>
      </c>
      <c r="E270" s="4660" t="s">
        <v>3242</v>
      </c>
      <c r="F270" s="4660"/>
      <c r="G270" s="4660"/>
      <c r="H270" s="4660"/>
    </row>
    <row r="271" spans="1:11" ht="12.75" customHeight="1">
      <c r="C271" s="1515"/>
      <c r="D271" s="1513" t="s">
        <v>3104</v>
      </c>
      <c r="E271" s="4663" t="s">
        <v>3243</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4292</v>
      </c>
      <c r="E275" s="4660" t="s">
        <v>3242</v>
      </c>
      <c r="F275" s="4660"/>
      <c r="G275" s="4660"/>
      <c r="H275" s="4660"/>
    </row>
    <row r="276" spans="1:8" ht="12.75" customHeight="1">
      <c r="C276" s="1515"/>
      <c r="D276" s="1513" t="s">
        <v>3104</v>
      </c>
      <c r="E276" s="4663" t="s">
        <v>3243</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4292</v>
      </c>
      <c r="E280" s="4660" t="s">
        <v>3242</v>
      </c>
      <c r="F280" s="4660"/>
      <c r="G280" s="4660"/>
      <c r="H280" s="4660"/>
    </row>
    <row r="281" spans="1:8" ht="12.75" customHeight="1">
      <c r="C281" s="1515"/>
      <c r="D281" s="1513" t="s">
        <v>3104</v>
      </c>
      <c r="E281" s="4663" t="s">
        <v>3243</v>
      </c>
      <c r="F281" s="4663"/>
      <c r="G281" s="4663"/>
      <c r="H281" s="4663"/>
    </row>
    <row r="282" spans="1:8" ht="6" customHeight="1">
      <c r="D282" s="746"/>
      <c r="E282" s="1511"/>
      <c r="F282" s="1511"/>
      <c r="G282" s="1511"/>
      <c r="H282" s="1511"/>
    </row>
    <row r="283" spans="1:8">
      <c r="A283" s="717" t="s">
        <v>3100</v>
      </c>
      <c r="B283" s="744" t="str">
        <f>IF('Part VI-Revenues &amp; Expenses'!$L$59=0,"",'Part VI-Revenues &amp; Expenses'!$L$59)</f>
        <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4292</v>
      </c>
      <c r="E287" s="4660" t="s">
        <v>3242</v>
      </c>
      <c r="F287" s="4660"/>
      <c r="G287" s="4660"/>
      <c r="H287" s="4660"/>
    </row>
    <row r="288" spans="1:8" ht="12.75" customHeight="1">
      <c r="C288" s="1515"/>
      <c r="D288" s="1512" t="s">
        <v>3104</v>
      </c>
      <c r="E288" s="4664" t="s">
        <v>3243</v>
      </c>
      <c r="F288" s="4664"/>
      <c r="G288" s="4664"/>
      <c r="H288" s="4664"/>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4292</v>
      </c>
      <c r="E292" s="4660" t="s">
        <v>3242</v>
      </c>
      <c r="F292" s="4660"/>
      <c r="G292" s="4660"/>
      <c r="H292" s="4660"/>
    </row>
    <row r="293" spans="1:8" ht="12.75" customHeight="1">
      <c r="C293" s="1515"/>
      <c r="D293" s="1513" t="s">
        <v>3104</v>
      </c>
      <c r="E293" s="4663" t="s">
        <v>3243</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4292</v>
      </c>
      <c r="E297" s="4660" t="s">
        <v>3242</v>
      </c>
      <c r="F297" s="4660"/>
      <c r="G297" s="4660"/>
      <c r="H297" s="4660"/>
    </row>
    <row r="298" spans="1:8" ht="12.75" customHeight="1">
      <c r="C298" s="1515"/>
      <c r="D298" s="1513" t="s">
        <v>3104</v>
      </c>
      <c r="E298" s="4663" t="s">
        <v>3243</v>
      </c>
      <c r="F298" s="4663"/>
      <c r="G298" s="4663"/>
      <c r="H298" s="4663"/>
    </row>
    <row r="299" spans="1:8" ht="6" customHeight="1">
      <c r="D299" s="746"/>
      <c r="E299" s="1511"/>
      <c r="F299" s="1511"/>
      <c r="G299" s="1511"/>
      <c r="H299" s="1511"/>
    </row>
    <row r="300" spans="1:8">
      <c r="A300" s="717" t="s">
        <v>3100</v>
      </c>
      <c r="B300" s="744" t="str">
        <f>IF('Part VI-Revenues &amp; Expenses'!$M$59=0,"",'Part VI-Revenues &amp; Expenses'!$M$59)</f>
        <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4292</v>
      </c>
      <c r="E304" s="4660" t="s">
        <v>3242</v>
      </c>
      <c r="F304" s="4660"/>
      <c r="G304" s="4660"/>
      <c r="H304" s="4660"/>
    </row>
    <row r="305" spans="1:8" ht="12.75" customHeight="1">
      <c r="C305" s="1515"/>
      <c r="D305" s="1512" t="s">
        <v>3104</v>
      </c>
      <c r="E305" s="4664" t="s">
        <v>3243</v>
      </c>
      <c r="F305" s="4664"/>
      <c r="G305" s="4664"/>
      <c r="H305" s="4664"/>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4292</v>
      </c>
      <c r="E309" s="4660" t="s">
        <v>3242</v>
      </c>
      <c r="F309" s="4660"/>
      <c r="G309" s="4660"/>
      <c r="H309" s="4660"/>
    </row>
    <row r="310" spans="1:8" ht="12.75" customHeight="1">
      <c r="C310" s="1515"/>
      <c r="D310" s="1513" t="s">
        <v>3104</v>
      </c>
      <c r="E310" s="4663" t="s">
        <v>3243</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4292</v>
      </c>
      <c r="E314" s="4660" t="s">
        <v>3242</v>
      </c>
      <c r="F314" s="4660"/>
      <c r="G314" s="4660"/>
      <c r="H314" s="4660"/>
    </row>
    <row r="315" spans="1:8" ht="12.75" customHeight="1">
      <c r="C315" s="1515"/>
      <c r="D315" s="1513" t="s">
        <v>3104</v>
      </c>
      <c r="E315" s="4663" t="s">
        <v>3243</v>
      </c>
      <c r="F315" s="4663"/>
      <c r="G315" s="4663"/>
      <c r="H315" s="4663"/>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4292</v>
      </c>
      <c r="E321" s="4660" t="s">
        <v>3242</v>
      </c>
      <c r="F321" s="4660"/>
      <c r="G321" s="4660"/>
      <c r="H321" s="4660"/>
    </row>
    <row r="322" spans="1:11" ht="12.75" customHeight="1">
      <c r="C322" s="1515"/>
      <c r="D322" s="1512" t="s">
        <v>3104</v>
      </c>
      <c r="E322" s="4664" t="s">
        <v>3243</v>
      </c>
      <c r="F322" s="4664"/>
      <c r="G322" s="4664"/>
      <c r="H322" s="4664"/>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4292</v>
      </c>
      <c r="E326" s="4660" t="s">
        <v>3242</v>
      </c>
      <c r="F326" s="4660"/>
      <c r="G326" s="4660"/>
      <c r="H326" s="4660"/>
    </row>
    <row r="327" spans="1:11" ht="12.75" customHeight="1">
      <c r="C327" s="1515"/>
      <c r="D327" s="1513" t="s">
        <v>3104</v>
      </c>
      <c r="E327" s="4663" t="s">
        <v>3243</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4292</v>
      </c>
      <c r="E331" s="4660" t="s">
        <v>3242</v>
      </c>
      <c r="F331" s="4660"/>
      <c r="G331" s="4660"/>
      <c r="H331" s="4660"/>
    </row>
    <row r="332" spans="1:11" ht="12.75" customHeight="1">
      <c r="C332" s="1515"/>
      <c r="D332" s="1513" t="s">
        <v>3104</v>
      </c>
      <c r="E332" s="4663" t="s">
        <v>3243</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3242</v>
      </c>
      <c r="F338" s="4660"/>
      <c r="G338" s="4660"/>
      <c r="H338" s="4660"/>
    </row>
    <row r="339" spans="1:8" ht="12.75" customHeight="1">
      <c r="D339" s="749" t="s">
        <v>3104</v>
      </c>
      <c r="E339" s="4660" t="s">
        <v>3243</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4297</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4292</v>
      </c>
      <c r="E350" s="4660" t="s">
        <v>3242</v>
      </c>
      <c r="F350" s="4660"/>
      <c r="G350" s="4660"/>
      <c r="H350" s="4660"/>
    </row>
    <row r="351" spans="1:8" ht="12.75" customHeight="1">
      <c r="C351" s="1515"/>
      <c r="D351" s="1513" t="s">
        <v>3104</v>
      </c>
      <c r="E351" s="4663" t="s">
        <v>3243</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4292</v>
      </c>
      <c r="E355" s="4660" t="s">
        <v>3242</v>
      </c>
      <c r="F355" s="4660"/>
      <c r="G355" s="4660"/>
      <c r="H355" s="4660"/>
    </row>
    <row r="356" spans="1:8" ht="12.75" customHeight="1">
      <c r="C356" s="1515"/>
      <c r="D356" s="1513" t="s">
        <v>3104</v>
      </c>
      <c r="E356" s="4663" t="s">
        <v>3243</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4292</v>
      </c>
      <c r="E360" s="4660" t="s">
        <v>3242</v>
      </c>
      <c r="F360" s="4660"/>
      <c r="G360" s="4660"/>
      <c r="H360" s="4660"/>
    </row>
    <row r="361" spans="1:8" ht="12.75" customHeight="1">
      <c r="C361" s="1515"/>
      <c r="D361" s="1513" t="s">
        <v>3104</v>
      </c>
      <c r="E361" s="4663" t="s">
        <v>3243</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35</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4292</v>
      </c>
      <c r="E367" s="4660" t="s">
        <v>3242</v>
      </c>
      <c r="F367" s="4660"/>
      <c r="G367" s="4660"/>
      <c r="H367" s="4660"/>
    </row>
    <row r="368" spans="1:8" ht="12.75" customHeight="1">
      <c r="C368" s="1515"/>
      <c r="D368" s="1512" t="s">
        <v>3104</v>
      </c>
      <c r="E368" s="4664" t="s">
        <v>3243</v>
      </c>
      <c r="F368" s="4664"/>
      <c r="G368" s="4664"/>
      <c r="H368" s="4664"/>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4292</v>
      </c>
      <c r="E372" s="4660" t="s">
        <v>3242</v>
      </c>
      <c r="F372" s="4660"/>
      <c r="G372" s="4660"/>
      <c r="H372" s="4660"/>
    </row>
    <row r="373" spans="1:8" ht="12.75" customHeight="1">
      <c r="C373" s="1515"/>
      <c r="D373" s="1513" t="s">
        <v>3104</v>
      </c>
      <c r="E373" s="4663" t="s">
        <v>3243</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4292</v>
      </c>
      <c r="E377" s="4660" t="s">
        <v>3242</v>
      </c>
      <c r="F377" s="4660"/>
      <c r="G377" s="4660"/>
      <c r="H377" s="4660"/>
    </row>
    <row r="378" spans="1:8" ht="12.75" customHeight="1">
      <c r="C378" s="1515"/>
      <c r="D378" s="1513" t="s">
        <v>3104</v>
      </c>
      <c r="E378" s="4663" t="s">
        <v>3243</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20</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4292</v>
      </c>
      <c r="E384" s="4660" t="s">
        <v>3242</v>
      </c>
      <c r="F384" s="4660"/>
      <c r="G384" s="4660"/>
      <c r="H384" s="4660"/>
    </row>
    <row r="385" spans="1:8" ht="12.75" customHeight="1">
      <c r="C385" s="1515"/>
      <c r="D385" s="1512" t="s">
        <v>3104</v>
      </c>
      <c r="E385" s="4664" t="s">
        <v>3243</v>
      </c>
      <c r="F385" s="4664"/>
      <c r="G385" s="4664"/>
      <c r="H385" s="4664"/>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4292</v>
      </c>
      <c r="E389" s="4660" t="s">
        <v>3242</v>
      </c>
      <c r="F389" s="4660"/>
      <c r="G389" s="4660"/>
      <c r="H389" s="4660"/>
    </row>
    <row r="390" spans="1:8" ht="12.75" customHeight="1">
      <c r="C390" s="1515"/>
      <c r="D390" s="1513" t="s">
        <v>3104</v>
      </c>
      <c r="E390" s="4663" t="s">
        <v>3243</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4292</v>
      </c>
      <c r="E394" s="4660" t="s">
        <v>3242</v>
      </c>
      <c r="F394" s="4660"/>
      <c r="G394" s="4660"/>
      <c r="H394" s="4660"/>
    </row>
    <row r="395" spans="1:8" ht="12.75" customHeight="1">
      <c r="C395" s="1515"/>
      <c r="D395" s="1513" t="s">
        <v>3104</v>
      </c>
      <c r="E395" s="4663" t="s">
        <v>3243</v>
      </c>
      <c r="F395" s="4663"/>
      <c r="G395" s="4663"/>
      <c r="H395" s="4663"/>
    </row>
    <row r="396" spans="1:8" ht="6" customHeight="1">
      <c r="D396" s="746"/>
      <c r="E396" s="1511"/>
      <c r="F396" s="1511"/>
      <c r="G396" s="1511"/>
      <c r="H396" s="1511"/>
    </row>
    <row r="397" spans="1:8">
      <c r="A397" s="717" t="s">
        <v>3100</v>
      </c>
      <c r="B397" s="744">
        <f>IF('Part VI-Revenues &amp; Expenses'!$N$58=0,"",'Part VI-Revenues &amp; Expenses'!$N$58)</f>
        <v>12</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4292</v>
      </c>
      <c r="E401" s="4660" t="s">
        <v>3242</v>
      </c>
      <c r="F401" s="4660"/>
      <c r="G401" s="4660"/>
      <c r="H401" s="4660"/>
    </row>
    <row r="402" spans="1:11" ht="12.75" customHeight="1">
      <c r="C402" s="1515"/>
      <c r="D402" s="1512" t="s">
        <v>3104</v>
      </c>
      <c r="E402" s="4664" t="s">
        <v>3243</v>
      </c>
      <c r="F402" s="4664"/>
      <c r="G402" s="4664"/>
      <c r="H402" s="4664"/>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4292</v>
      </c>
      <c r="E406" s="4660" t="s">
        <v>3242</v>
      </c>
      <c r="F406" s="4660"/>
      <c r="G406" s="4660"/>
      <c r="H406" s="4660"/>
    </row>
    <row r="407" spans="1:11" ht="12.75" customHeight="1">
      <c r="C407" s="1515"/>
      <c r="D407" s="1513" t="s">
        <v>3104</v>
      </c>
      <c r="E407" s="4663" t="s">
        <v>3243</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4292</v>
      </c>
      <c r="E411" s="4660" t="s">
        <v>3242</v>
      </c>
      <c r="F411" s="4660"/>
      <c r="G411" s="4660"/>
      <c r="H411" s="4660"/>
    </row>
    <row r="412" spans="1:11" ht="12.75" customHeight="1">
      <c r="C412" s="1515"/>
      <c r="D412" s="1513" t="s">
        <v>3104</v>
      </c>
      <c r="E412" s="4663" t="s">
        <v>3243</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3242</v>
      </c>
      <c r="F418" s="4660"/>
      <c r="G418" s="4660"/>
      <c r="H418" s="4660"/>
    </row>
    <row r="419" spans="1:8" ht="12.75" customHeight="1">
      <c r="D419" s="749" t="s">
        <v>3104</v>
      </c>
      <c r="E419" s="4660" t="s">
        <v>3243</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4298</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4292</v>
      </c>
      <c r="E429" s="4660" t="s">
        <v>3242</v>
      </c>
      <c r="F429" s="4660"/>
      <c r="G429" s="4660"/>
      <c r="H429" s="4660"/>
    </row>
    <row r="430" spans="1:8" ht="12.75" customHeight="1">
      <c r="C430" s="1515"/>
      <c r="D430" s="1513" t="s">
        <v>3104</v>
      </c>
      <c r="E430" s="4663" t="s">
        <v>3243</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4292</v>
      </c>
      <c r="E434" s="4660" t="s">
        <v>3242</v>
      </c>
      <c r="F434" s="4660"/>
      <c r="G434" s="4660"/>
      <c r="H434" s="4660"/>
    </row>
    <row r="435" spans="1:8" ht="12.75" customHeight="1">
      <c r="C435" s="1515"/>
      <c r="D435" s="1513" t="s">
        <v>3104</v>
      </c>
      <c r="E435" s="4663" t="s">
        <v>3243</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4292</v>
      </c>
      <c r="E439" s="4660" t="s">
        <v>3242</v>
      </c>
      <c r="F439" s="4660"/>
      <c r="G439" s="4660"/>
      <c r="H439" s="4660"/>
    </row>
    <row r="440" spans="1:8" ht="12.75" customHeight="1">
      <c r="C440" s="1515"/>
      <c r="D440" s="1513" t="s">
        <v>3104</v>
      </c>
      <c r="E440" s="4663" t="s">
        <v>3243</v>
      </c>
      <c r="F440" s="4663"/>
      <c r="G440" s="4663"/>
      <c r="H440" s="4663"/>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4292</v>
      </c>
      <c r="E446" s="4660" t="s">
        <v>3242</v>
      </c>
      <c r="F446" s="4660"/>
      <c r="G446" s="4660"/>
      <c r="H446" s="4660"/>
    </row>
    <row r="447" spans="1:8" ht="12.75" customHeight="1">
      <c r="C447" s="1515"/>
      <c r="D447" s="1512" t="s">
        <v>3104</v>
      </c>
      <c r="E447" s="4664" t="s">
        <v>3243</v>
      </c>
      <c r="F447" s="4664"/>
      <c r="G447" s="4664"/>
      <c r="H447" s="4664"/>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4292</v>
      </c>
      <c r="E451" s="4660" t="s">
        <v>3242</v>
      </c>
      <c r="F451" s="4660"/>
      <c r="G451" s="4660"/>
      <c r="H451" s="4660"/>
    </row>
    <row r="452" spans="1:8" ht="12.75" customHeight="1">
      <c r="C452" s="1515"/>
      <c r="D452" s="1513" t="s">
        <v>3104</v>
      </c>
      <c r="E452" s="4663" t="s">
        <v>3243</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4292</v>
      </c>
      <c r="E456" s="4660" t="s">
        <v>3242</v>
      </c>
      <c r="F456" s="4660"/>
      <c r="G456" s="4660"/>
      <c r="H456" s="4660"/>
    </row>
    <row r="457" spans="1:8" ht="12.75" customHeight="1">
      <c r="C457" s="1515"/>
      <c r="D457" s="1513" t="s">
        <v>3104</v>
      </c>
      <c r="E457" s="4663" t="s">
        <v>3243</v>
      </c>
      <c r="F457" s="4663"/>
      <c r="G457" s="4663"/>
      <c r="H457" s="4663"/>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4292</v>
      </c>
      <c r="E463" s="4660" t="s">
        <v>3242</v>
      </c>
      <c r="F463" s="4660"/>
      <c r="G463" s="4660"/>
      <c r="H463" s="4660"/>
    </row>
    <row r="464" spans="1:8" ht="12.75" customHeight="1">
      <c r="C464" s="1515"/>
      <c r="D464" s="1512" t="s">
        <v>3104</v>
      </c>
      <c r="E464" s="4664" t="s">
        <v>3243</v>
      </c>
      <c r="F464" s="4664"/>
      <c r="G464" s="4664"/>
      <c r="H464" s="4664"/>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4292</v>
      </c>
      <c r="E468" s="4660" t="s">
        <v>3242</v>
      </c>
      <c r="F468" s="4660"/>
      <c r="G468" s="4660"/>
      <c r="H468" s="4660"/>
    </row>
    <row r="469" spans="1:8" ht="12.75" customHeight="1">
      <c r="C469" s="1515"/>
      <c r="D469" s="1513" t="s">
        <v>3104</v>
      </c>
      <c r="E469" s="4663" t="s">
        <v>3243</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4292</v>
      </c>
      <c r="E473" s="4660" t="s">
        <v>3242</v>
      </c>
      <c r="F473" s="4660"/>
      <c r="G473" s="4660"/>
      <c r="H473" s="4660"/>
    </row>
    <row r="474" spans="1:8" ht="12.75" customHeight="1">
      <c r="C474" s="1515"/>
      <c r="D474" s="1513" t="s">
        <v>3104</v>
      </c>
      <c r="E474" s="4663" t="s">
        <v>3243</v>
      </c>
      <c r="F474" s="4663"/>
      <c r="G474" s="4663"/>
      <c r="H474" s="4663"/>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4292</v>
      </c>
      <c r="E480" s="4660" t="s">
        <v>3242</v>
      </c>
      <c r="F480" s="4660"/>
      <c r="G480" s="4660"/>
      <c r="H480" s="4660"/>
    </row>
    <row r="481" spans="1:11" ht="12.75" customHeight="1">
      <c r="C481" s="1515"/>
      <c r="D481" s="1512" t="s">
        <v>3104</v>
      </c>
      <c r="E481" s="4664" t="s">
        <v>3243</v>
      </c>
      <c r="F481" s="4664"/>
      <c r="G481" s="4664"/>
      <c r="H481" s="4664"/>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4292</v>
      </c>
      <c r="E485" s="4660" t="s">
        <v>3242</v>
      </c>
      <c r="F485" s="4660"/>
      <c r="G485" s="4660"/>
      <c r="H485" s="4660"/>
    </row>
    <row r="486" spans="1:11" ht="12.75" customHeight="1">
      <c r="C486" s="1515"/>
      <c r="D486" s="1513" t="s">
        <v>3104</v>
      </c>
      <c r="E486" s="4663" t="s">
        <v>3243</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4292</v>
      </c>
      <c r="E490" s="4660" t="s">
        <v>3242</v>
      </c>
      <c r="F490" s="4660"/>
      <c r="G490" s="4660"/>
      <c r="H490" s="4660"/>
    </row>
    <row r="491" spans="1:11" ht="12.75" customHeight="1">
      <c r="C491" s="1515"/>
      <c r="D491" s="1513" t="s">
        <v>3104</v>
      </c>
      <c r="E491" s="4663" t="s">
        <v>3243</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3242</v>
      </c>
      <c r="F497" s="4660"/>
      <c r="G497" s="4660"/>
      <c r="H497" s="4660"/>
    </row>
    <row r="498" spans="1:8" ht="12.75" customHeight="1">
      <c r="D498" s="749" t="s">
        <v>3104</v>
      </c>
      <c r="E498" s="4660" t="s">
        <v>3243</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4299</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4292</v>
      </c>
      <c r="E508" s="4660" t="s">
        <v>3242</v>
      </c>
      <c r="F508" s="4660"/>
      <c r="G508" s="4660"/>
      <c r="H508" s="4660"/>
    </row>
    <row r="509" spans="1:8" ht="12.75" customHeight="1">
      <c r="C509" s="1515"/>
      <c r="D509" s="1513" t="s">
        <v>3104</v>
      </c>
      <c r="E509" s="4663" t="s">
        <v>3243</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4292</v>
      </c>
      <c r="E513" s="4660" t="s">
        <v>3242</v>
      </c>
      <c r="F513" s="4660"/>
      <c r="G513" s="4660"/>
      <c r="H513" s="4660"/>
    </row>
    <row r="514" spans="1:8" ht="12.75" customHeight="1">
      <c r="C514" s="1515"/>
      <c r="D514" s="1513" t="s">
        <v>3104</v>
      </c>
      <c r="E514" s="4663" t="s">
        <v>3243</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4292</v>
      </c>
      <c r="E518" s="4660" t="s">
        <v>3242</v>
      </c>
      <c r="F518" s="4660"/>
      <c r="G518" s="4660"/>
      <c r="H518" s="4660"/>
    </row>
    <row r="519" spans="1:8" ht="12.75" customHeight="1">
      <c r="C519" s="1515"/>
      <c r="D519" s="1513" t="s">
        <v>3104</v>
      </c>
      <c r="E519" s="4663" t="s">
        <v>3243</v>
      </c>
      <c r="F519" s="4663"/>
      <c r="G519" s="4663"/>
      <c r="H519" s="4663"/>
    </row>
    <row r="520" spans="1:8" ht="6" customHeight="1">
      <c r="D520" s="746"/>
      <c r="E520" s="1511"/>
      <c r="F520" s="1511"/>
      <c r="G520" s="1511"/>
      <c r="H520" s="1511"/>
    </row>
    <row r="521" spans="1:8">
      <c r="A521" s="717" t="s">
        <v>3100</v>
      </c>
      <c r="B521" s="744">
        <f>IF('Part VI-Revenues &amp; Expenses'!$L$56=0,"",'Part VI-Revenues &amp; Expenses'!$L$56)</f>
        <v>4</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4292</v>
      </c>
      <c r="E525" s="4660" t="s">
        <v>3242</v>
      </c>
      <c r="F525" s="4660"/>
      <c r="G525" s="4660"/>
      <c r="H525" s="4660"/>
    </row>
    <row r="526" spans="1:8" ht="12.75" customHeight="1">
      <c r="C526" s="1515"/>
      <c r="D526" s="1512" t="s">
        <v>3104</v>
      </c>
      <c r="E526" s="4664" t="s">
        <v>3243</v>
      </c>
      <c r="F526" s="4664"/>
      <c r="G526" s="4664"/>
      <c r="H526" s="4664"/>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4292</v>
      </c>
      <c r="E530" s="4660" t="s">
        <v>3242</v>
      </c>
      <c r="F530" s="4660"/>
      <c r="G530" s="4660"/>
      <c r="H530" s="4660"/>
    </row>
    <row r="531" spans="1:8" ht="12.75" customHeight="1">
      <c r="C531" s="1515"/>
      <c r="D531" s="1513" t="s">
        <v>3104</v>
      </c>
      <c r="E531" s="4663" t="s">
        <v>3243</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4292</v>
      </c>
      <c r="E535" s="4660" t="s">
        <v>3242</v>
      </c>
      <c r="F535" s="4660"/>
      <c r="G535" s="4660"/>
      <c r="H535" s="4660"/>
    </row>
    <row r="536" spans="1:8" ht="12.75" customHeight="1">
      <c r="C536" s="1515"/>
      <c r="D536" s="1513" t="s">
        <v>3104</v>
      </c>
      <c r="E536" s="4663" t="s">
        <v>3243</v>
      </c>
      <c r="F536" s="4663"/>
      <c r="G536" s="4663"/>
      <c r="H536" s="4663"/>
    </row>
    <row r="537" spans="1:8" ht="6" customHeight="1">
      <c r="D537" s="746"/>
      <c r="E537" s="1511"/>
      <c r="F537" s="1511"/>
      <c r="G537" s="1511"/>
      <c r="H537" s="1511"/>
    </row>
    <row r="538" spans="1:8">
      <c r="A538" s="717" t="s">
        <v>3100</v>
      </c>
      <c r="B538" s="744">
        <f>IF('Part VI-Revenues &amp; Expenses'!$M$56=0,"",'Part VI-Revenues &amp; Expenses'!$M$56)</f>
        <v>3</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4292</v>
      </c>
      <c r="E542" s="4660" t="s">
        <v>3242</v>
      </c>
      <c r="F542" s="4660"/>
      <c r="G542" s="4660"/>
      <c r="H542" s="4660"/>
    </row>
    <row r="543" spans="1:8" ht="12.75" customHeight="1">
      <c r="C543" s="1515"/>
      <c r="D543" s="1512" t="s">
        <v>3104</v>
      </c>
      <c r="E543" s="4664" t="s">
        <v>3243</v>
      </c>
      <c r="F543" s="4664"/>
      <c r="G543" s="4664"/>
      <c r="H543" s="4664"/>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4292</v>
      </c>
      <c r="E547" s="4660" t="s">
        <v>3242</v>
      </c>
      <c r="F547" s="4660"/>
      <c r="G547" s="4660"/>
      <c r="H547" s="4660"/>
    </row>
    <row r="548" spans="1:8" ht="12.75" customHeight="1">
      <c r="C548" s="1515"/>
      <c r="D548" s="1513" t="s">
        <v>3104</v>
      </c>
      <c r="E548" s="4663" t="s">
        <v>3243</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4292</v>
      </c>
      <c r="E552" s="4660" t="s">
        <v>3242</v>
      </c>
      <c r="F552" s="4660"/>
      <c r="G552" s="4660"/>
      <c r="H552" s="4660"/>
    </row>
    <row r="553" spans="1:8" ht="12.75" customHeight="1">
      <c r="C553" s="1515"/>
      <c r="D553" s="1513" t="s">
        <v>3104</v>
      </c>
      <c r="E553" s="4663" t="s">
        <v>3243</v>
      </c>
      <c r="F553" s="4663"/>
      <c r="G553" s="4663"/>
      <c r="H553" s="4663"/>
    </row>
    <row r="554" spans="1:8" ht="6" customHeight="1">
      <c r="D554" s="746"/>
      <c r="E554" s="1511"/>
      <c r="F554" s="1511"/>
      <c r="G554" s="1511"/>
      <c r="H554" s="1511"/>
    </row>
    <row r="555" spans="1:8">
      <c r="A555" s="717" t="s">
        <v>3100</v>
      </c>
      <c r="B555" s="744">
        <f>IF('Part VI-Revenues &amp; Expenses'!$N$56=0,"",'Part VI-Revenues &amp; Expenses'!$N$56)</f>
        <v>1</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4292</v>
      </c>
      <c r="E559" s="4660" t="s">
        <v>3242</v>
      </c>
      <c r="F559" s="4660"/>
      <c r="G559" s="4660"/>
      <c r="H559" s="4660"/>
    </row>
    <row r="560" spans="1:8" ht="12.75" customHeight="1">
      <c r="C560" s="1515"/>
      <c r="D560" s="1512" t="s">
        <v>3104</v>
      </c>
      <c r="E560" s="4664" t="s">
        <v>3243</v>
      </c>
      <c r="F560" s="4664"/>
      <c r="G560" s="4664"/>
      <c r="H560" s="4664"/>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4292</v>
      </c>
      <c r="E564" s="4660" t="s">
        <v>3242</v>
      </c>
      <c r="F564" s="4660"/>
      <c r="G564" s="4660"/>
      <c r="H564" s="4660"/>
    </row>
    <row r="565" spans="1:11" ht="12.75" customHeight="1">
      <c r="C565" s="1515"/>
      <c r="D565" s="1513" t="s">
        <v>3104</v>
      </c>
      <c r="E565" s="4663" t="s">
        <v>3243</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4292</v>
      </c>
      <c r="E569" s="4660" t="s">
        <v>3242</v>
      </c>
      <c r="F569" s="4660"/>
      <c r="G569" s="4660"/>
      <c r="H569" s="4660"/>
    </row>
    <row r="570" spans="1:11" ht="12.75" customHeight="1">
      <c r="C570" s="1515"/>
      <c r="D570" s="1513" t="s">
        <v>3104</v>
      </c>
      <c r="E570" s="4663" t="s">
        <v>3243</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3242</v>
      </c>
      <c r="F576" s="4660"/>
      <c r="G576" s="4660"/>
      <c r="H576" s="4660"/>
    </row>
    <row r="577" spans="4:8" ht="12.75" customHeight="1">
      <c r="D577" s="749" t="s">
        <v>3104</v>
      </c>
      <c r="E577" s="4660" t="s">
        <v>3243</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Roswell Redevelopment Phase I</v>
      </c>
    </row>
    <row r="2" spans="1:14">
      <c r="A2" s="636" t="s">
        <v>3002</v>
      </c>
      <c r="H2" s="699" t="str">
        <f>'Sensitivity Analysis'!E8</f>
        <v>2021-018</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62739.322596000005</v>
      </c>
      <c r="M4" s="4708"/>
      <c r="N4" s="1568" t="s">
        <v>3815</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6" t="s">
        <v>3004</v>
      </c>
      <c r="D7" s="4666"/>
      <c r="E7" s="4666"/>
      <c r="F7" s="4666"/>
      <c r="G7" s="4666"/>
      <c r="H7" s="4666"/>
      <c r="I7" s="4666"/>
      <c r="J7" s="4666"/>
      <c r="K7" s="4666"/>
      <c r="L7" s="4666"/>
      <c r="M7" s="4666"/>
    </row>
    <row r="8" spans="1:14" ht="3" customHeight="1"/>
    <row r="9" spans="1:14">
      <c r="A9" s="699" t="s">
        <v>3005</v>
      </c>
    </row>
    <row r="10" spans="1:14" ht="1.5" customHeight="1"/>
    <row r="11" spans="1:14" ht="26.25" customHeight="1">
      <c r="A11" s="743" t="s">
        <v>1893</v>
      </c>
      <c r="B11" s="4666" t="s">
        <v>3095</v>
      </c>
      <c r="C11" s="4666"/>
      <c r="D11" s="4666"/>
      <c r="E11" s="4666"/>
      <c r="F11" s="4666"/>
      <c r="G11" s="4666"/>
      <c r="H11" s="4666"/>
      <c r="I11" s="4666"/>
      <c r="J11" s="4666"/>
      <c r="K11" s="4666"/>
      <c r="L11" s="4667">
        <f>'Part III-Sources of Funds'!I51+'Part III-Sources of Funds'!I52</f>
        <v>15500000</v>
      </c>
      <c r="M11" s="4667"/>
    </row>
    <row r="12" spans="1:14" ht="1.5" customHeight="1">
      <c r="G12" s="712"/>
      <c r="H12" s="712"/>
    </row>
    <row r="13" spans="1:14" ht="25.9" customHeight="1">
      <c r="A13" s="743" t="s">
        <v>1895</v>
      </c>
      <c r="B13" s="4666" t="s">
        <v>3096</v>
      </c>
      <c r="C13" s="4666"/>
      <c r="D13" s="4666"/>
      <c r="E13" s="4666"/>
      <c r="F13" s="4666"/>
      <c r="G13" s="4666"/>
      <c r="H13" s="4666"/>
      <c r="I13" s="4666"/>
      <c r="J13" s="4666"/>
      <c r="K13" s="4666"/>
      <c r="L13" s="4668" t="s">
        <v>2933</v>
      </c>
      <c r="M13" s="4668"/>
    </row>
    <row r="14" spans="1:14">
      <c r="A14" s="743"/>
      <c r="B14" s="4483"/>
      <c r="C14" s="4483"/>
      <c r="D14" s="4483"/>
      <c r="E14" s="4483"/>
      <c r="F14" s="4483"/>
      <c r="G14" s="4483"/>
      <c r="H14" s="4483"/>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83" t="s">
        <v>2625</v>
      </c>
      <c r="M18" s="4483"/>
    </row>
    <row r="19" spans="1:19" ht="12" hidden="1" customHeight="1">
      <c r="B19" s="4483"/>
      <c r="C19" s="4483"/>
      <c r="D19" s="4483"/>
      <c r="E19" s="4483"/>
      <c r="F19" s="4483"/>
      <c r="G19" s="4483"/>
      <c r="H19" s="448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1" t="s">
        <v>4289</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4</v>
      </c>
      <c r="G25" s="1655">
        <f>'Part VI-Revenues &amp; Expenses'!M56</f>
        <v>3</v>
      </c>
      <c r="H25" s="1655">
        <f>'Part VI-Revenues &amp; Expenses'!N56</f>
        <v>1</v>
      </c>
      <c r="I25" s="1655">
        <f>'Part VI-Revenues &amp; Expenses'!O56</f>
        <v>0</v>
      </c>
      <c r="J25" s="1656">
        <f>'Part VI-Revenues &amp; Expenses'!P56</f>
        <v>8</v>
      </c>
    </row>
    <row r="26" spans="1:19" s="498" customFormat="1" ht="15" customHeight="1">
      <c r="C26" s="1653" t="s">
        <v>3830</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35</v>
      </c>
      <c r="G27" s="1658">
        <f>'Part VI-Revenues &amp; Expenses'!M58</f>
        <v>20</v>
      </c>
      <c r="H27" s="1658">
        <f>'Part VI-Revenues &amp; Expenses'!N58</f>
        <v>12</v>
      </c>
      <c r="I27" s="1658">
        <f>'Part VI-Revenues &amp; Expenses'!O58</f>
        <v>0</v>
      </c>
      <c r="J27" s="1659">
        <f>'Part VI-Revenues &amp; Expenses'!P58</f>
        <v>67</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3832</v>
      </c>
      <c r="D30" s="1645"/>
      <c r="E30" s="1657">
        <f>'Part VI-Revenues &amp; Expenses'!K61</f>
        <v>0</v>
      </c>
      <c r="F30" s="1658">
        <f>'Part VI-Revenues &amp; Expenses'!L61</f>
        <v>10</v>
      </c>
      <c r="G30" s="1658">
        <f>'Part VI-Revenues &amp; Expenses'!M61</f>
        <v>6</v>
      </c>
      <c r="H30" s="1658">
        <f>'Part VI-Revenues &amp; Expenses'!N61</f>
        <v>4</v>
      </c>
      <c r="I30" s="1658">
        <f>'Part VI-Revenues &amp; Expenses'!O61</f>
        <v>0</v>
      </c>
      <c r="J30" s="1659">
        <f>'Part VI-Revenues &amp; Expenses'!P61</f>
        <v>20</v>
      </c>
    </row>
    <row r="31" spans="1:19" s="498" customFormat="1" ht="13.1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49</v>
      </c>
      <c r="G32" s="1651">
        <f>'Part VI-Revenues &amp; Expenses'!M63</f>
        <v>29</v>
      </c>
      <c r="H32" s="1651">
        <f>'Part VI-Revenues &amp; Expenses'!N63</f>
        <v>17</v>
      </c>
      <c r="I32" s="1651">
        <f>'Part VI-Revenues &amp; Expenses'!O63</f>
        <v>0</v>
      </c>
      <c r="J32" s="1661">
        <f>'Part VI-Revenues &amp; Expenses'!P63</f>
        <v>95</v>
      </c>
    </row>
    <row r="33" spans="1:12" s="498" customFormat="1" ht="13.15" customHeight="1" thickBot="1">
      <c r="K33" s="1638"/>
    </row>
    <row r="34" spans="1:12" s="498" customFormat="1" ht="14.25" customHeight="1" thickBot="1">
      <c r="A34" s="1638"/>
      <c r="B34" s="4682" t="s">
        <v>6421</v>
      </c>
      <c r="E34" s="4683" t="s">
        <v>6276</v>
      </c>
      <c r="F34" s="4684"/>
      <c r="G34" s="4684"/>
      <c r="H34" s="4684"/>
      <c r="I34" s="4684"/>
      <c r="J34" s="4684"/>
      <c r="K34" s="4684"/>
      <c r="L34" s="4685"/>
    </row>
    <row r="35" spans="1:12" s="498" customFormat="1" ht="14.25" customHeight="1">
      <c r="A35" s="1638"/>
      <c r="B35" s="4682"/>
      <c r="C35" s="4686" t="s">
        <v>6422</v>
      </c>
      <c r="D35" s="4682" t="s">
        <v>6423</v>
      </c>
      <c r="E35" s="4687" t="s">
        <v>6279</v>
      </c>
      <c r="F35" s="4688"/>
      <c r="G35" s="4691" t="s">
        <v>1304</v>
      </c>
      <c r="H35" s="4693" t="s">
        <v>6275</v>
      </c>
      <c r="I35" s="4694"/>
      <c r="J35" s="4694"/>
      <c r="K35" s="4694"/>
      <c r="L35" s="4695"/>
    </row>
    <row r="36" spans="1:12" s="498" customFormat="1" ht="23.25" customHeight="1">
      <c r="A36" s="4686" t="s">
        <v>1000</v>
      </c>
      <c r="B36" s="4682"/>
      <c r="C36" s="4686"/>
      <c r="D36" s="4682"/>
      <c r="E36" s="4689"/>
      <c r="F36" s="4690"/>
      <c r="G36" s="4692"/>
      <c r="H36" s="4696" t="s">
        <v>6277</v>
      </c>
      <c r="I36" s="4697"/>
      <c r="J36" s="4700" t="s">
        <v>1304</v>
      </c>
      <c r="K36" s="4697" t="s">
        <v>6278</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30</v>
      </c>
      <c r="B39" s="1643">
        <f>'Part VI-Revenues &amp; Expenses'!E18</f>
        <v>10</v>
      </c>
      <c r="C39" s="1644" t="str">
        <f>_xlfn.CONCAT('Part VI-Revenues &amp; Expenses'!C18," / ",'Part VI-Revenues &amp; Expenses'!D18)</f>
        <v>1 / 1</v>
      </c>
      <c r="D39" s="1643">
        <f>'Part VI-Revenues &amp; Expenses'!F18</f>
        <v>650</v>
      </c>
      <c r="E39" s="4706">
        <f>'Part VI-Revenues &amp; Expenses'!H18</f>
        <v>688</v>
      </c>
      <c r="F39" s="4707"/>
      <c r="G39" s="1645"/>
      <c r="H39" s="4675"/>
      <c r="I39" s="4676"/>
      <c r="J39" s="4676"/>
      <c r="K39" s="4676"/>
      <c r="L39" s="4677"/>
    </row>
    <row r="40" spans="1:12" s="498" customFormat="1" ht="13.15" customHeight="1">
      <c r="A40" s="1646">
        <f>'Part VI-Revenues &amp; Expenses'!B19</f>
        <v>30</v>
      </c>
      <c r="B40" s="1647">
        <f>'Part VI-Revenues &amp; Expenses'!E19</f>
        <v>6</v>
      </c>
      <c r="C40" s="1648" t="str">
        <f>_xlfn.CONCAT('Part VI-Revenues &amp; Expenses'!C19," / ",'Part VI-Revenues &amp; Expenses'!D19)</f>
        <v>2 / 1</v>
      </c>
      <c r="D40" s="1647">
        <f>'Part VI-Revenues &amp; Expenses'!F19</f>
        <v>850</v>
      </c>
      <c r="E40" s="4673">
        <f>'Part VI-Revenues &amp; Expenses'!H19</f>
        <v>797</v>
      </c>
      <c r="F40" s="4674"/>
      <c r="G40" s="1645"/>
      <c r="H40" s="4670"/>
      <c r="I40" s="4671"/>
      <c r="J40" s="4671"/>
      <c r="K40" s="4671"/>
      <c r="L40" s="4672"/>
    </row>
    <row r="41" spans="1:12" s="498" customFormat="1" ht="13.15" customHeight="1">
      <c r="A41" s="1646">
        <f>'Part VI-Revenues &amp; Expenses'!B20</f>
        <v>30</v>
      </c>
      <c r="B41" s="1647">
        <f>'Part VI-Revenues &amp; Expenses'!E20</f>
        <v>4</v>
      </c>
      <c r="C41" s="1648" t="str">
        <f>_xlfn.CONCAT('Part VI-Revenues &amp; Expenses'!C20," / ",'Part VI-Revenues &amp; Expenses'!D20)</f>
        <v>3 / 2</v>
      </c>
      <c r="D41" s="1647">
        <f>'Part VI-Revenues &amp; Expenses'!F20</f>
        <v>1100</v>
      </c>
      <c r="E41" s="4673">
        <f>'Part VI-Revenues &amp; Expenses'!H20</f>
        <v>970</v>
      </c>
      <c r="F41" s="4674"/>
      <c r="G41" s="1645"/>
      <c r="H41" s="4670"/>
      <c r="I41" s="4671"/>
      <c r="J41" s="4671"/>
      <c r="K41" s="4671"/>
      <c r="L41" s="4672"/>
    </row>
    <row r="42" spans="1:12" s="498" customFormat="1" ht="13.15" customHeight="1">
      <c r="A42" s="1646">
        <f>'Part VI-Revenues &amp; Expenses'!B21</f>
        <v>60</v>
      </c>
      <c r="B42" s="1647">
        <f>'Part VI-Revenues &amp; Expenses'!E21</f>
        <v>35</v>
      </c>
      <c r="C42" s="1648" t="str">
        <f>_xlfn.CONCAT('Part VI-Revenues &amp; Expenses'!C21," / ",'Part VI-Revenues &amp; Expenses'!D21)</f>
        <v>1 / 1</v>
      </c>
      <c r="D42" s="1647">
        <f>'Part VI-Revenues &amp; Expenses'!F21</f>
        <v>650</v>
      </c>
      <c r="E42" s="4673">
        <f>'Part VI-Revenues &amp; Expenses'!H21</f>
        <v>688</v>
      </c>
      <c r="F42" s="4674"/>
      <c r="G42" s="1645"/>
      <c r="H42" s="4670"/>
      <c r="I42" s="4671"/>
      <c r="J42" s="4671"/>
      <c r="K42" s="4671"/>
      <c r="L42" s="4672"/>
    </row>
    <row r="43" spans="1:12" s="498" customFormat="1" ht="13.15" customHeight="1">
      <c r="A43" s="1646">
        <f>'Part VI-Revenues &amp; Expenses'!B22</f>
        <v>60</v>
      </c>
      <c r="B43" s="1647">
        <f>'Part VI-Revenues &amp; Expenses'!E22</f>
        <v>20</v>
      </c>
      <c r="C43" s="1648" t="str">
        <f>_xlfn.CONCAT('Part VI-Revenues &amp; Expenses'!C22," / ",'Part VI-Revenues &amp; Expenses'!D22)</f>
        <v>2 / 1</v>
      </c>
      <c r="D43" s="1647">
        <f>'Part VI-Revenues &amp; Expenses'!F22</f>
        <v>850</v>
      </c>
      <c r="E43" s="4673">
        <f>'Part VI-Revenues &amp; Expenses'!H22</f>
        <v>797</v>
      </c>
      <c r="F43" s="4674"/>
      <c r="G43" s="1645"/>
      <c r="H43" s="4670"/>
      <c r="I43" s="4671"/>
      <c r="J43" s="4671"/>
      <c r="K43" s="4671"/>
      <c r="L43" s="4672"/>
    </row>
    <row r="44" spans="1:12" s="498" customFormat="1" ht="13.15" customHeight="1">
      <c r="A44" s="1646">
        <f>'Part VI-Revenues &amp; Expenses'!B23</f>
        <v>60</v>
      </c>
      <c r="B44" s="1647">
        <f>'Part VI-Revenues &amp; Expenses'!E23</f>
        <v>12</v>
      </c>
      <c r="C44" s="1648" t="str">
        <f>_xlfn.CONCAT('Part VI-Revenues &amp; Expenses'!C23," / ",'Part VI-Revenues &amp; Expenses'!D23)</f>
        <v>3 / 2</v>
      </c>
      <c r="D44" s="1647">
        <f>'Part VI-Revenues &amp; Expenses'!F23</f>
        <v>1100</v>
      </c>
      <c r="E44" s="4673">
        <f>'Part VI-Revenues &amp; Expenses'!H23</f>
        <v>970</v>
      </c>
      <c r="F44" s="4674"/>
      <c r="G44" s="1645"/>
      <c r="H44" s="4670"/>
      <c r="I44" s="4671"/>
      <c r="J44" s="4671"/>
      <c r="K44" s="4671"/>
      <c r="L44" s="4672"/>
    </row>
    <row r="45" spans="1:12" s="498" customFormat="1" ht="13.15" customHeight="1">
      <c r="A45" s="1646">
        <f>'Part VI-Revenues &amp; Expenses'!B24</f>
        <v>80</v>
      </c>
      <c r="B45" s="1647">
        <f>'Part VI-Revenues &amp; Expenses'!E24</f>
        <v>4</v>
      </c>
      <c r="C45" s="1648" t="str">
        <f>_xlfn.CONCAT('Part VI-Revenues &amp; Expenses'!C24," / ",'Part VI-Revenues &amp; Expenses'!D24)</f>
        <v>1 / 1</v>
      </c>
      <c r="D45" s="1647">
        <f>'Part VI-Revenues &amp; Expenses'!F24</f>
        <v>650</v>
      </c>
      <c r="E45" s="4673">
        <f>'Part VI-Revenues &amp; Expenses'!H24</f>
        <v>688</v>
      </c>
      <c r="F45" s="4674"/>
      <c r="G45" s="1645"/>
      <c r="H45" s="4670"/>
      <c r="I45" s="4671"/>
      <c r="J45" s="4671"/>
      <c r="K45" s="4671"/>
      <c r="L45" s="4672"/>
    </row>
    <row r="46" spans="1:12" s="498" customFormat="1" ht="13.15" customHeight="1">
      <c r="A46" s="1646">
        <f>'Part VI-Revenues &amp; Expenses'!B25</f>
        <v>80</v>
      </c>
      <c r="B46" s="1647">
        <f>'Part VI-Revenues &amp; Expenses'!E25</f>
        <v>3</v>
      </c>
      <c r="C46" s="1648" t="str">
        <f>_xlfn.CONCAT('Part VI-Revenues &amp; Expenses'!C25," / ",'Part VI-Revenues &amp; Expenses'!D25)</f>
        <v>2 / 1</v>
      </c>
      <c r="D46" s="1647">
        <f>'Part VI-Revenues &amp; Expenses'!F25</f>
        <v>850</v>
      </c>
      <c r="E46" s="4673">
        <f>'Part VI-Revenues &amp; Expenses'!H25</f>
        <v>797</v>
      </c>
      <c r="F46" s="4674"/>
      <c r="G46" s="1645"/>
      <c r="H46" s="4670"/>
      <c r="I46" s="4671"/>
      <c r="J46" s="4671"/>
      <c r="K46" s="4671"/>
      <c r="L46" s="4672"/>
    </row>
    <row r="47" spans="1:12" s="498" customFormat="1" ht="13.15" customHeight="1">
      <c r="A47" s="1646">
        <f>'Part VI-Revenues &amp; Expenses'!B26</f>
        <v>80</v>
      </c>
      <c r="B47" s="1647">
        <f>'Part VI-Revenues &amp; Expenses'!E26</f>
        <v>1</v>
      </c>
      <c r="C47" s="1648" t="str">
        <f>_xlfn.CONCAT('Part VI-Revenues &amp; Expenses'!C26," / ",'Part VI-Revenues &amp; Expenses'!D26)</f>
        <v>3 / 2</v>
      </c>
      <c r="D47" s="1647">
        <f>'Part VI-Revenues &amp; Expenses'!F26</f>
        <v>1100</v>
      </c>
      <c r="E47" s="4673">
        <f>'Part VI-Revenues &amp; Expenses'!H26</f>
        <v>970</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3631</v>
      </c>
      <c r="C1" s="4720"/>
      <c r="D1" s="4720"/>
      <c r="E1" s="4720"/>
      <c r="F1" s="4720"/>
      <c r="G1" s="4720"/>
      <c r="H1" s="4720"/>
      <c r="I1" s="4720"/>
    </row>
    <row r="2" spans="2:13" ht="15">
      <c r="B2" s="1113" t="s">
        <v>3619</v>
      </c>
      <c r="C2" s="711"/>
      <c r="D2" s="711"/>
      <c r="E2" s="711"/>
      <c r="F2" s="711"/>
      <c r="G2" s="711"/>
      <c r="H2" s="711"/>
      <c r="I2" s="711"/>
    </row>
    <row r="3" spans="2:13" ht="14.25">
      <c r="B3" s="1114" t="s">
        <v>3626</v>
      </c>
      <c r="C3" s="711"/>
      <c r="D3" s="711"/>
      <c r="E3" s="711"/>
      <c r="F3" s="711"/>
      <c r="G3" s="711"/>
      <c r="H3" s="711"/>
      <c r="I3" s="711"/>
    </row>
    <row r="4" spans="2:13">
      <c r="B4" s="4721" t="s">
        <v>3009</v>
      </c>
      <c r="C4" s="4721"/>
      <c r="D4" s="4721"/>
      <c r="E4" s="4726" t="s">
        <v>3010</v>
      </c>
      <c r="F4" s="4728"/>
      <c r="G4" s="4726" t="s">
        <v>587</v>
      </c>
      <c r="H4" s="4727"/>
      <c r="I4" s="4728"/>
      <c r="J4" s="1107" t="s">
        <v>2858</v>
      </c>
      <c r="K4" s="1107"/>
      <c r="L4" s="1115"/>
      <c r="M4" s="1115"/>
    </row>
    <row r="5" spans="2:13">
      <c r="B5" s="4722" t="str">
        <f>'Closing term sheet'!C8</f>
        <v>Oak Street I LLC</v>
      </c>
      <c r="C5" s="4723"/>
      <c r="D5" s="4723"/>
      <c r="E5" s="4732"/>
      <c r="F5" s="4733"/>
      <c r="G5" s="4729" t="str">
        <f>'Closing term sheet'!C28</f>
        <v>Roswell Redevelopment Phase I</v>
      </c>
      <c r="H5" s="4730"/>
      <c r="I5" s="4731"/>
      <c r="K5" s="699"/>
    </row>
    <row r="6" spans="2:13" ht="4.5" customHeight="1">
      <c r="D6" s="1116"/>
      <c r="E6" s="1116"/>
      <c r="F6" s="1116"/>
      <c r="G6" s="1116"/>
      <c r="H6" s="1116"/>
      <c r="I6" s="1116"/>
      <c r="K6" s="699"/>
    </row>
    <row r="7" spans="2:13">
      <c r="B7" s="4715" t="s">
        <v>3011</v>
      </c>
      <c r="C7" s="4715"/>
      <c r="D7" s="1117"/>
      <c r="E7" s="1117"/>
      <c r="F7" s="1117"/>
      <c r="G7" s="1117"/>
      <c r="H7" s="4724">
        <f>'Preview term'!E9</f>
        <v>0</v>
      </c>
      <c r="I7" s="4725"/>
    </row>
    <row r="8" spans="2:13" ht="4.5" customHeight="1">
      <c r="B8" s="1117"/>
      <c r="C8" s="1117"/>
      <c r="D8" s="1117"/>
      <c r="E8" s="1117"/>
      <c r="F8" s="1117"/>
      <c r="G8" s="1117"/>
      <c r="H8" s="1117"/>
      <c r="I8" s="1117"/>
      <c r="J8" s="1117"/>
    </row>
    <row r="9" spans="2:13">
      <c r="B9" s="1118" t="s">
        <v>3012</v>
      </c>
      <c r="C9" s="1118"/>
      <c r="D9" s="1117"/>
      <c r="E9" s="719" t="s">
        <v>3621</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3618</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3622</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3623</v>
      </c>
      <c r="C19" s="1117"/>
      <c r="D19" s="1117"/>
      <c r="E19" s="1117"/>
      <c r="F19" s="1117"/>
      <c r="G19" s="1117"/>
      <c r="H19" s="1117"/>
      <c r="I19" s="1134"/>
    </row>
    <row r="20" spans="2:9" ht="7.5" customHeight="1">
      <c r="B20" s="1128"/>
      <c r="C20" s="1117"/>
      <c r="D20" s="1117"/>
      <c r="E20" s="1117"/>
      <c r="F20" s="1117"/>
      <c r="G20" s="1117"/>
      <c r="H20" s="1117"/>
      <c r="I20" s="1134"/>
    </row>
    <row r="21" spans="2:9">
      <c r="B21" s="1128" t="s">
        <v>3620</v>
      </c>
      <c r="C21" s="1117"/>
      <c r="D21" s="1117"/>
      <c r="E21" s="1117"/>
      <c r="F21" s="1117"/>
      <c r="G21" s="1117"/>
      <c r="H21" s="1117"/>
      <c r="I21" s="1129"/>
    </row>
    <row r="22" spans="2:9">
      <c r="B22" s="1133" t="s">
        <v>3624</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3625</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3627</v>
      </c>
    </row>
    <row r="34" spans="2:9" ht="3" customHeight="1">
      <c r="B34" s="1138"/>
      <c r="C34" s="1123"/>
      <c r="D34" s="1123"/>
      <c r="E34" s="1123"/>
      <c r="F34" s="1123"/>
      <c r="G34" s="1123"/>
      <c r="H34" s="1123"/>
      <c r="I34" s="1139"/>
    </row>
    <row r="35" spans="2:9">
      <c r="B35" s="1128" t="s">
        <v>3630</v>
      </c>
      <c r="C35" s="1117"/>
      <c r="D35" s="1117"/>
      <c r="F35" s="1143"/>
      <c r="H35" s="4734" t="s">
        <v>3639</v>
      </c>
      <c r="I35" s="4735"/>
    </row>
    <row r="36" spans="2:9">
      <c r="B36" s="1144" t="s">
        <v>3638</v>
      </c>
      <c r="C36" s="1142"/>
      <c r="D36" s="1142"/>
      <c r="E36" s="1117"/>
      <c r="F36" s="1340"/>
      <c r="G36" s="1145"/>
      <c r="H36" s="4734"/>
      <c r="I36" s="4735"/>
    </row>
    <row r="37" spans="2:9">
      <c r="B37" s="1144" t="s">
        <v>3636</v>
      </c>
      <c r="D37" s="1142"/>
      <c r="E37" s="1117"/>
      <c r="F37" s="1341"/>
      <c r="G37" s="1145"/>
      <c r="H37" s="4734"/>
      <c r="I37" s="4735"/>
    </row>
    <row r="38" spans="2:9">
      <c r="B38" s="1144" t="s">
        <v>3637</v>
      </c>
      <c r="D38" s="1117"/>
      <c r="E38" s="1117"/>
      <c r="F38" s="1341"/>
      <c r="G38" s="1145"/>
      <c r="H38" s="1145"/>
      <c r="I38" s="1146"/>
    </row>
    <row r="39" spans="2:9" ht="12.75" customHeight="1">
      <c r="B39" s="1144" t="s">
        <v>3635</v>
      </c>
      <c r="C39" s="1117"/>
      <c r="D39" s="1117"/>
      <c r="E39" s="1117"/>
      <c r="F39" s="1341"/>
      <c r="G39" s="1145"/>
      <c r="H39" s="1145"/>
      <c r="I39" s="1146"/>
    </row>
    <row r="40" spans="2:9">
      <c r="B40" s="1147" t="s">
        <v>3634</v>
      </c>
      <c r="C40" s="1148"/>
      <c r="D40" s="1149"/>
      <c r="E40" s="1150"/>
      <c r="F40" s="1341"/>
      <c r="G40" s="1150"/>
      <c r="H40" s="1339"/>
      <c r="I40" s="1127"/>
    </row>
    <row r="41" spans="2:9">
      <c r="B41" s="1147" t="s">
        <v>3633</v>
      </c>
      <c r="C41" s="1148"/>
      <c r="D41" s="1149"/>
      <c r="E41" s="1117"/>
      <c r="F41" s="1341"/>
      <c r="G41" s="1117"/>
      <c r="H41" s="1117"/>
      <c r="I41" s="1127"/>
    </row>
    <row r="42" spans="2:9">
      <c r="B42" s="1151" t="s">
        <v>3632</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3629</v>
      </c>
    </row>
    <row r="46" spans="2:9" ht="3" customHeight="1">
      <c r="B46" s="1138"/>
      <c r="C46" s="1123"/>
      <c r="D46" s="1123"/>
      <c r="E46" s="1123"/>
      <c r="F46" s="1123"/>
      <c r="G46" s="1123"/>
      <c r="H46" s="1123"/>
      <c r="I46" s="1139"/>
    </row>
    <row r="47" spans="2:9" ht="18">
      <c r="B47" s="1128" t="s">
        <v>3628</v>
      </c>
      <c r="C47" s="1117"/>
      <c r="D47" s="1153"/>
      <c r="E47" s="1154" t="str">
        <f>'Sensitivity Analysis'!H7</f>
        <v>New Construction</v>
      </c>
      <c r="F47" s="703" t="s">
        <v>3640</v>
      </c>
      <c r="H47" s="1117"/>
      <c r="I47" s="1127"/>
    </row>
    <row r="48" spans="2:9">
      <c r="B48" s="1133" t="s">
        <v>3024</v>
      </c>
      <c r="C48" s="1142"/>
      <c r="D48" s="1142" t="s">
        <v>3025</v>
      </c>
      <c r="E48" s="1117"/>
      <c r="F48" s="4743" t="str">
        <f>'Closing term sheet'!$C$30</f>
        <v>151 Oak Street</v>
      </c>
      <c r="G48" s="4744"/>
      <c r="H48" s="4744"/>
      <c r="I48" s="4745"/>
    </row>
    <row r="49" spans="2:9">
      <c r="B49" s="1133" t="s">
        <v>3026</v>
      </c>
      <c r="D49" s="1142" t="s">
        <v>3027</v>
      </c>
      <c r="E49" s="1117"/>
      <c r="F49" s="4746"/>
      <c r="G49" s="4747"/>
      <c r="H49" s="4747"/>
      <c r="I49" s="474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3641</v>
      </c>
      <c r="C52" s="4711" t="str">
        <f>'Part I-Project Information'!F39</f>
        <v>Roswell</v>
      </c>
      <c r="D52" s="4712"/>
      <c r="E52" s="1159" t="s">
        <v>3642</v>
      </c>
      <c r="F52" s="1119" t="s">
        <v>815</v>
      </c>
      <c r="G52" s="1159" t="s">
        <v>3643</v>
      </c>
      <c r="H52" s="1160">
        <f>'Part I-Project Information'!J39</f>
        <v>300754584</v>
      </c>
      <c r="I52" s="1127"/>
    </row>
    <row r="53" spans="2:9">
      <c r="B53" s="1158" t="s">
        <v>3805</v>
      </c>
      <c r="D53" s="1161" t="e">
        <f>VLOOKUP("='Part I-Project Information'!$J$39",'DCA Underwriting Assumptions'!$G$174:$O$333,9)</f>
        <v>#N/A</v>
      </c>
      <c r="I53" s="1127"/>
    </row>
    <row r="54" spans="2:9">
      <c r="B54" s="1158" t="s">
        <v>3806</v>
      </c>
      <c r="D54" s="1117"/>
      <c r="E54" s="1117"/>
      <c r="F54" s="1117"/>
      <c r="G54" s="1117"/>
      <c r="I54" s="1127"/>
    </row>
    <row r="55" spans="2:9">
      <c r="B55" s="1151" t="s">
        <v>3807</v>
      </c>
      <c r="D55" s="1162" t="e">
        <f>'Closing term sheet'!$D$33</f>
        <v>#VALUE!</v>
      </c>
      <c r="E55" s="1163"/>
      <c r="F55" s="719" t="s">
        <v>3029</v>
      </c>
      <c r="G55" s="1117"/>
      <c r="H55" s="1117"/>
      <c r="I55" s="1127"/>
    </row>
    <row r="56" spans="2:9">
      <c r="B56" s="1151" t="s">
        <v>3809</v>
      </c>
      <c r="D56" s="1164">
        <f>'Closing term sheet'!$D$63</f>
        <v>3983100</v>
      </c>
      <c r="E56" s="1165"/>
      <c r="F56" s="719" t="s">
        <v>3030</v>
      </c>
      <c r="G56" s="1117"/>
      <c r="H56" s="1117"/>
      <c r="I56" s="1127"/>
    </row>
    <row r="57" spans="2:9">
      <c r="B57" s="1144" t="s">
        <v>3808</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3032</v>
      </c>
      <c r="C61" s="4718"/>
      <c r="D61" s="4718"/>
      <c r="E61" s="4718"/>
      <c r="F61" s="4718"/>
      <c r="G61" s="4718"/>
      <c r="H61" s="4718"/>
      <c r="I61" s="4719"/>
    </row>
    <row r="62" spans="2:9" ht="7.5" customHeight="1">
      <c r="B62" s="4713"/>
      <c r="C62" s="4714"/>
      <c r="D62" s="4714"/>
      <c r="E62" s="1117"/>
      <c r="F62" s="1117"/>
      <c r="G62" s="1167"/>
      <c r="H62" s="1117"/>
      <c r="I62" s="1127"/>
    </row>
    <row r="63" spans="2:9">
      <c r="B63" s="1168" t="s">
        <v>3034</v>
      </c>
      <c r="C63" s="1117"/>
      <c r="D63" s="1162">
        <v>4</v>
      </c>
      <c r="F63" s="1117"/>
      <c r="G63" s="4715" t="s">
        <v>3033</v>
      </c>
      <c r="H63" s="4715"/>
      <c r="I63" s="471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3045</v>
      </c>
      <c r="C81" s="4718"/>
      <c r="D81" s="4718"/>
      <c r="E81" s="4718"/>
      <c r="F81" s="4718"/>
      <c r="G81" s="4718"/>
      <c r="H81" s="4718"/>
      <c r="I81" s="471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39">
        <f>'Closing term sheet'!D63</f>
        <v>3983100</v>
      </c>
      <c r="G84" s="4739"/>
      <c r="H84" s="1117"/>
      <c r="I84" s="1127"/>
    </row>
    <row r="85" spans="2:9">
      <c r="B85" s="1125"/>
      <c r="C85" s="739" t="s">
        <v>3048</v>
      </c>
      <c r="D85" s="1117"/>
      <c r="E85" s="1117"/>
      <c r="F85" s="4710" t="e">
        <f>'Part III-Sources of Funds'!I47+'Part III-Sources of Funds'!L47</f>
        <v>#N/A</v>
      </c>
      <c r="G85" s="4710"/>
      <c r="H85" s="1117"/>
      <c r="I85" s="1127"/>
    </row>
    <row r="86" spans="2:9">
      <c r="B86" s="1125"/>
      <c r="C86" s="739" t="s">
        <v>3049</v>
      </c>
      <c r="D86" s="1117"/>
      <c r="E86" s="1117"/>
      <c r="F86" s="4709"/>
      <c r="G86" s="4709"/>
      <c r="H86" s="1117"/>
      <c r="I86" s="1127"/>
    </row>
    <row r="87" spans="2:9">
      <c r="B87" s="1125"/>
      <c r="C87" s="1142" t="s">
        <v>3050</v>
      </c>
      <c r="D87" s="1117"/>
      <c r="E87" s="1117"/>
      <c r="F87" s="4710">
        <v>11000</v>
      </c>
      <c r="G87" s="4710"/>
      <c r="H87" s="1117"/>
      <c r="I87" s="1127"/>
    </row>
    <row r="88" spans="2:9">
      <c r="B88" s="1125"/>
      <c r="C88" s="739" t="s">
        <v>3051</v>
      </c>
      <c r="D88" s="1117"/>
      <c r="E88" s="1117"/>
      <c r="F88" s="4742"/>
      <c r="G88" s="4742"/>
      <c r="H88" s="1117"/>
      <c r="I88" s="1127"/>
    </row>
    <row r="89" spans="2:9">
      <c r="B89" s="1125"/>
      <c r="C89" s="719" t="s">
        <v>3052</v>
      </c>
      <c r="D89" s="1117"/>
      <c r="E89" s="1117"/>
      <c r="F89" s="4737" t="e">
        <f>SUM(F84:G88)</f>
        <v>#N/A</v>
      </c>
      <c r="G89" s="4737"/>
      <c r="H89" s="1117"/>
      <c r="I89" s="1127"/>
    </row>
    <row r="90" spans="2:9">
      <c r="B90" s="1125"/>
      <c r="C90" s="1117"/>
      <c r="D90" s="1117"/>
      <c r="E90" s="1117"/>
      <c r="F90" s="4738"/>
      <c r="G90" s="4738"/>
      <c r="H90" s="1117"/>
      <c r="I90" s="1127"/>
    </row>
    <row r="91" spans="2:9">
      <c r="B91" s="1128" t="s">
        <v>3053</v>
      </c>
      <c r="C91" s="1117"/>
      <c r="D91" s="1117"/>
      <c r="E91" s="1117"/>
      <c r="F91" s="1117"/>
      <c r="G91" s="1117"/>
      <c r="H91" s="1117"/>
      <c r="I91" s="1127"/>
    </row>
    <row r="92" spans="2:9">
      <c r="B92" s="1125"/>
      <c r="C92" s="739" t="s">
        <v>3054</v>
      </c>
      <c r="D92" s="1117"/>
      <c r="E92" s="1117"/>
      <c r="F92" s="4739"/>
      <c r="G92" s="4739"/>
      <c r="H92" s="1117"/>
      <c r="I92" s="1127"/>
    </row>
    <row r="93" spans="2:9">
      <c r="B93" s="1125"/>
      <c r="C93" s="739" t="s">
        <v>3055</v>
      </c>
      <c r="D93" s="1117"/>
      <c r="E93" s="1117"/>
      <c r="F93" s="4740"/>
      <c r="G93" s="4740"/>
      <c r="H93" s="1117"/>
      <c r="I93" s="1127"/>
    </row>
    <row r="94" spans="2:9">
      <c r="B94" s="1125"/>
      <c r="C94" s="739" t="s">
        <v>3056</v>
      </c>
      <c r="D94" s="1117"/>
      <c r="E94" s="1117"/>
      <c r="F94" s="4741" t="s">
        <v>2933</v>
      </c>
      <c r="G94" s="4736"/>
      <c r="H94" s="1117"/>
      <c r="I94" s="1127"/>
    </row>
    <row r="95" spans="2:9">
      <c r="B95" s="1125"/>
      <c r="C95" s="719" t="s">
        <v>3057</v>
      </c>
      <c r="D95" s="1117"/>
      <c r="E95" s="1117"/>
      <c r="F95" s="4737">
        <f>+SUM(F92:G94)</f>
        <v>0</v>
      </c>
      <c r="G95" s="473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39"/>
      <c r="G98" s="4739"/>
      <c r="H98" s="1117"/>
      <c r="I98" s="1127"/>
    </row>
    <row r="99" spans="2:9">
      <c r="B99" s="1125"/>
      <c r="C99" s="739" t="s">
        <v>3060</v>
      </c>
      <c r="D99" s="1117"/>
      <c r="E99" s="1117"/>
      <c r="F99" s="4740"/>
      <c r="G99" s="4740"/>
      <c r="H99" s="1117"/>
      <c r="I99" s="1127"/>
    </row>
    <row r="100" spans="2:9">
      <c r="B100" s="1125"/>
      <c r="C100" s="739" t="s">
        <v>3061</v>
      </c>
      <c r="D100" s="1117"/>
      <c r="E100" s="1117"/>
      <c r="F100" s="4742"/>
      <c r="G100" s="4742"/>
      <c r="H100" s="1117"/>
      <c r="I100" s="1127"/>
    </row>
    <row r="101" spans="2:9">
      <c r="B101" s="1125"/>
      <c r="C101" s="719" t="s">
        <v>3062</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3063</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3064</v>
      </c>
    </row>
    <row r="105" spans="2:9">
      <c r="B105" s="1128" t="s">
        <v>3065</v>
      </c>
      <c r="C105" s="1117"/>
      <c r="D105" s="1117"/>
      <c r="E105" s="1117"/>
      <c r="F105" s="4736" t="e">
        <f>+F103+F101+F95+F89</f>
        <v>#N/A</v>
      </c>
      <c r="G105" s="473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I1757" zoomScale="118" zoomScaleNormal="118" workbookViewId="0">
      <selection activeCell="I1757" sqref="A1:XFD1048576"/>
    </sheetView>
  </sheetViews>
  <sheetFormatPr defaultColWidth="9.140625" defaultRowHeight="12.75"/>
  <cols>
    <col min="1" max="1" width="9.7109375" style="1924" bestFit="1" customWidth="1"/>
    <col min="2" max="6" width="11.7109375" style="1924" bestFit="1" customWidth="1"/>
    <col min="7" max="7" width="12.42578125" style="1924" bestFit="1" customWidth="1"/>
    <col min="8" max="8" width="13.42578125" style="1924" bestFit="1" customWidth="1"/>
    <col min="9" max="9" width="9.5703125" style="1924" customWidth="1"/>
    <col min="10" max="10" width="13.28515625" style="1924" bestFit="1" customWidth="1"/>
    <col min="11" max="11" width="13" style="1924" bestFit="1" customWidth="1"/>
    <col min="12" max="12" width="10.140625" style="1924" bestFit="1" customWidth="1"/>
    <col min="13" max="13" width="9.7109375" style="1924" bestFit="1" customWidth="1"/>
    <col min="14" max="14" width="11.85546875" style="1924" bestFit="1" customWidth="1"/>
    <col min="15" max="15" width="12.8554687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Roswell Redevelopment Phase I</v>
      </c>
    </row>
    <row r="3" spans="1:6" s="1852" customFormat="1" ht="15" customHeight="1">
      <c r="A3" s="1853" t="str">
        <f>CONCATENATE('Part I-Project Information'!F39,", ", 'Part I-Project Information'!J40," County")</f>
        <v>Roswell, Fulton County</v>
      </c>
    </row>
    <row r="4" spans="1:6" s="1852" customFormat="1" ht="12" customHeight="1"/>
    <row r="5" spans="1:6" s="1852" customFormat="1" ht="12.75" customHeight="1">
      <c r="A5" s="1854" t="str">
        <f>'Project Narrative'!A5</f>
        <v xml:space="preserve">
Roswell Redevelopment Phase I
Overview
Pennrose, LLC (Pennrose) and The Roswell Housing Authority (RHA) are proud to partner on the development of Roswell Redevelopment Phase I. This represents a rare opportunity to create new affordable housing across multiple phases in one of the highest income municipalities, with substantial barriers to entry, in the State. The first phase of development will consist of 95 units targeting households at 30%, 60% and 80% AMI’s (utilizing income averaging). 
As an established affordable housing developer, Pennrose is excited to partner with RHA to help them build experience and capacity as a LIHTC developer. The Team will endeavor to reposition RHA’s existing affordable housing so that they will be well positioned to provide quality affordable housing for the City of Roswell for years to come.
RHA History 
RHA is one of few affordable housing providers in City of Roswell.  High barriers to entry, make affordable housing very challenging to develop in the City of Roswell.  The numerous amenities, both public and private, as well as high quality schools, make the City of Roswell one of Georgia’s most attractive Cities for families and seniors.  This transformative project will allow RHA to reposition their current assets to continue to provide quality affordable housing for families to be able to live in a City with the highest quality of schools for their children and numerous attractions and amenities.   
Existing Property 
The property consists of approximately 3.0 acres of the existing Pelfrey Pines footprint. The City of Roswell has lacked new affordable housing development.  The only affordable housing development in decades is the adjacent Veranda at Grove Way. The existing Pelfrey Pines RAD property is also located in a District with some of the highest performing schools in the State of Georgia.  RHAs existing RAD units are some of the only affordable housing options for families in the City of Roswell.   
The Roswell Housing Authority (RHA) converted the public housing project – Pelfrey Pines, to RAD in 2015. The original buildings were built in the 1950’s. During the RAD conversion, RHA did not complete a substantial renovation of the housing.  Although well maintained, the project is experiencing  large capital needs, to the detriment of RHA resources.  Pennrose is partnering with RHA to complete a transformative project to reposition their affordable housing existing 95 RAD units, and create a future additional phase of affordable development, so that RHA will continue to provide quality affordable housing for years to come in the City of Roswell.  
Phase I 
The overall master plan will have two (2) Phases of LIHTC Redevelopment. In Phase I, Pennrose and RHA will demolish 28 of its existing, dated units (6-buildings) and replace it with 95 newly constructed affordable housing units. This will allow RHA to complete a RAD transfer of assistance of its entire RAD portfolio to this phase. Once residence move into Phase I, additional land will be available for phase II. 
There will be one (1) mid-rise 4-story elevator building and two (2) 3-story garden apartment buildings to be constructed.  The units will be a mix of 49 one-bedroom, 29 two-bedroom and 17 three-bedroom units.  The project will utilize Income Averaging LIHTC model with a small percentage of the units at 80% AMI.  All units will be LIHTC Qualified and receive RAD Subsidy.
The property will feature a community room, gazebo, on-site laundry, arts and crafts room and a computer center. 
If the project is successful in securing 9% LIHTCs in the 2021 Round, the project team estimates to complete construction with the first two buildings and moving residents into the new project during 4th Quarter 2023.  
The project will enter into a long term ground lease with RHA for approximately 3 acres of land from RHA for $530,000. RHA will use these proceeds to pay off existing debt.  As demonstrated by our appraisal, the property is currently worth $2M.  This transaction will immediately increase the financial viability of RHA as well as create future residual value for RHA. 
Relocation 
As part of this redevelopment project, the development team will utilize a Transfer of Assistance process in the RAD program to transfer the existing RAD/PBRA assistance from the existing Pelfrey Pines 95-units to the newly developed 95 LIHTC units as proposed in this Application.  The project has an existing HAP Contract that will be transferred to the newly developed Project – Roswell Redevelopment Phase I.   As described in our Relocation Plan, we will minimize the temporary off-site relocation for households in the existing units.  All DCA required relocation items and the Relocation Plan are attached in TAB 25.
In order to minimize the number of households that will have to relocate (temporary) off-site, Phase I will only redevelop the existing structures at the 151 Oak Street site (Parcel A in attached survey).  This will allow no more than 28 households to be required to be relocated (temporary) off-site as part of the Phase I.  
Safe and thoughtful resident relocation is a priority for the Team and, for this reason, we have engaged HousingToHome as our relocation firm. HousingToHome (HTH) is a national relocation firm and their CoFounders have extensive experience in relocation. HTH’s Executive Team is adept in executing all types of relocation across the country including temporary, occupied/resident in-place, permanent relocation as well as consulting services. HTH is committed to working with the Team and every resident of the RHA properties, along with their families, to ensure excellent attention to details in terms of relocation.  
Capacity Building 
Phase I, in addition to creating quality affordable housing, will enable RHA to build capacity in multiple ways. First, in terms of development LIHTC experience. RHA will be an owner and development partner in this project, participating in all aspects of the development process.   
RHA will also be able to build their balance sheet/financial from this project. They will receive 35% of the development fee on this project, as well as share in Cash Flow.  At Closing, the ownership entity will make a pre-paid ground lease payment of $530,000.  RHA will use these funds to pay off existing debt on Pelfrey Pines (See attached Loan Balance). 
Last, by both relocating RHA’s current tenants in Phase I and paying off existing debt, phase I will unlock RHA’s remaining land for future phases. This will allow RHA to be better equipped  to continue to manage their existing portfolio as well as reposition the remainder of their Assets and provide additional quality affordable housing for years to come in the City of Roswell.  
Finally, Pennrose is waiving the option of Qualified Contract and granting RHA a Right of First Refusal (ROFR) under IRS minimum guidelines. If exercised after the compliance period, RHA will benefit from likely substantial asset appreciation, especially after current RAD contract expires in 2035. Currently, RAD rents are below achievable tax credit rents and substantially below market rate/unrestricted rents.  
Pennrose has experience with capacity building for other Housing Authorities, most notably in Georgia with the Griffin Housing Authority (GHA). In 2013 GHA embarked on an ambitious, multi-year plan to transform its aging, functionally obsolete public housing into vibrant, mixed income neighborhoods where residents of all ages and income levels could thrive. To help realize this goal, GHA partnered with Pennrose to initiate the redevelopment of Meriwether Homes. In the succeeding four years, GHA partnered with Pennrose and the development team was awarded three 9% applications representing approximately $40 million in tax credits and a sweeping redevelopment of 120 units of outdated public housing into a master-planned community with 234 mixed-income units. Through this process GHA has been able to develop their capacity as a DCA qualified Developer, Manager, and GP Owner and they are now focused on managing the renovation of the Fairmont and Nine Oaks rehabilitations and manage a portfolio of over 200 housing units. GHA has recently transitioned into the operation and management of the Housing Authority of the City of West Point, Georgia and is seeking to replicate many of the same innovative strategies and long-term public-private partnerships realized when partnered with Pennrose.
Pennrose is looking forward to partnering with RHA and achieving similar success as our Partnership with GHA. RHA has completed a LIHTC project – the Veranda at Grove Way. We look forward to working with RHA to reposition the next phase of their portfolio and working to build their experience and capacity as an affordable developer and owner. We look to further their success by leveraging Penrose’s experience and technical expertise to expand RHA’s capacity for future projects.
</v>
      </c>
      <c r="B5" s="1855" t="s">
        <v>4079</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6281</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7082</v>
      </c>
      <c r="L30" s="1857"/>
      <c r="P30" s="1860" t="s">
        <v>3428</v>
      </c>
      <c r="Z30" s="1857">
        <v>6</v>
      </c>
    </row>
    <row r="31" spans="1:26" s="1856" customFormat="1" ht="12" customHeight="1">
      <c r="B31" s="1861" t="str">
        <f>'Part I-Project Information'!B7</f>
        <v>2021 Core App
May 10 Rev</v>
      </c>
      <c r="C31" s="1862"/>
      <c r="D31" s="1862"/>
      <c r="E31" s="1818"/>
      <c r="F31" s="1857"/>
      <c r="G31" s="1859" t="s">
        <v>7083</v>
      </c>
      <c r="H31" s="1857"/>
      <c r="I31" s="1857"/>
      <c r="J31" s="1857"/>
      <c r="O31" s="1863" t="str">
        <f>'Part I-Project Information'!O7</f>
        <v>2021-018</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3401</v>
      </c>
      <c r="I34" s="1866">
        <f>'Part IV-A-Uses of Funds'!$J$197</f>
        <v>1000000</v>
      </c>
      <c r="J34" s="1866"/>
      <c r="L34" s="1856" t="s">
        <v>3402</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3345</v>
      </c>
      <c r="J36" s="1856" t="s">
        <v>7084</v>
      </c>
      <c r="L36" s="1857"/>
      <c r="O36" s="1863" t="str">
        <f>'Part I-Project Information'!O12</f>
        <v>2021PA-037</v>
      </c>
      <c r="P36" s="1863"/>
      <c r="Z36" s="1857">
        <v>12</v>
      </c>
    </row>
    <row r="37" spans="1:26" s="1856" customFormat="1" ht="12.75" customHeight="1">
      <c r="A37" s="1857"/>
      <c r="B37" s="1865"/>
      <c r="C37" s="1865"/>
      <c r="D37" s="1865"/>
      <c r="E37" s="1865"/>
      <c r="H37" s="1857"/>
      <c r="J37" s="1859" t="s">
        <v>7021</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4285</v>
      </c>
      <c r="C39" s="1865"/>
      <c r="D39" s="1865"/>
      <c r="E39" s="1865"/>
      <c r="F39" s="1871" t="str">
        <f>'Part I-Project Information'!F15</f>
        <v>No</v>
      </c>
      <c r="G39" s="1858" t="s">
        <v>4286</v>
      </c>
      <c r="N39" s="1869" t="str">
        <f>'Part I-Project Information'!N15</f>
        <v>&lt;&lt;Select previous Application Type&gt;&gt;</v>
      </c>
      <c r="O39" s="1869"/>
      <c r="P39" s="1869"/>
      <c r="Z39" s="1857">
        <v>15</v>
      </c>
    </row>
    <row r="40" spans="1:26" s="1856" customFormat="1" ht="12.75" customHeight="1">
      <c r="A40" s="1857"/>
      <c r="B40" s="1856" t="s">
        <v>4279</v>
      </c>
      <c r="F40" s="1872">
        <f>'Part I-Project Information'!F16</f>
        <v>0</v>
      </c>
      <c r="G40" s="1872"/>
      <c r="H40" s="1872"/>
      <c r="I40" s="1872"/>
      <c r="J40" s="1856" t="s">
        <v>4117</v>
      </c>
      <c r="L40" s="1863">
        <f>'Part I-Project Information'!L16</f>
        <v>0</v>
      </c>
      <c r="M40" s="1863"/>
      <c r="N40" s="1856" t="s">
        <v>4116</v>
      </c>
      <c r="P40" s="1873">
        <f>'Part I-Project Information'!P16</f>
        <v>0</v>
      </c>
      <c r="Z40" s="1857">
        <v>16</v>
      </c>
    </row>
    <row r="41" spans="1:26" s="1856" customFormat="1" ht="12.75" customHeight="1">
      <c r="A41" s="1857"/>
      <c r="B41" s="1856" t="s">
        <v>3400</v>
      </c>
      <c r="F41" s="1871" t="str">
        <f>'Part I-Project Information'!F17</f>
        <v>No</v>
      </c>
      <c r="G41" s="1856" t="s">
        <v>4074</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3824</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3434</v>
      </c>
      <c r="F45" s="1863" t="str">
        <f>'Part I-Project Information'!F21</f>
        <v>Pennrose LLC</v>
      </c>
      <c r="G45" s="1863"/>
      <c r="H45" s="1863"/>
      <c r="I45" s="1856" t="s">
        <v>1716</v>
      </c>
      <c r="J45" s="1863" t="str">
        <f>'Part I-Project Information'!J21</f>
        <v>Mark H Dambly</v>
      </c>
      <c r="K45" s="1863"/>
      <c r="L45" s="1863"/>
      <c r="M45" s="1858" t="s">
        <v>1890</v>
      </c>
      <c r="N45" s="1863" t="str">
        <f>'Part I-Project Information'!N21</f>
        <v>President</v>
      </c>
      <c r="O45" s="1863"/>
      <c r="P45" s="1863"/>
      <c r="Z45" s="1857">
        <v>21</v>
      </c>
    </row>
    <row r="46" spans="1:26" s="1856" customFormat="1" ht="13.35" customHeight="1">
      <c r="B46" s="1858" t="s">
        <v>1891</v>
      </c>
      <c r="F46" s="1863" t="str">
        <f>'Part I-Project Information'!F22</f>
        <v>230 Wyoming Avenue</v>
      </c>
      <c r="G46" s="1863"/>
      <c r="H46" s="1863"/>
      <c r="I46" s="1863"/>
      <c r="J46" s="1863"/>
      <c r="K46" s="1863"/>
      <c r="L46" s="1863"/>
      <c r="M46" s="1875" t="s">
        <v>3433</v>
      </c>
      <c r="N46" s="1875"/>
      <c r="O46" s="1875"/>
      <c r="P46" s="1875"/>
      <c r="Z46" s="1857">
        <v>22</v>
      </c>
    </row>
    <row r="47" spans="1:26" s="1856" customFormat="1" ht="13.35" customHeight="1">
      <c r="B47" s="1858" t="s">
        <v>588</v>
      </c>
      <c r="F47" s="1863" t="str">
        <f>'Part I-Project Information'!F23</f>
        <v>Kingston</v>
      </c>
      <c r="G47" s="1863"/>
      <c r="H47" s="1863"/>
      <c r="I47" s="1858" t="s">
        <v>1717</v>
      </c>
      <c r="J47" s="1876" t="str">
        <f>'Part I-Project Information'!J23</f>
        <v>PA</v>
      </c>
      <c r="M47" s="1875"/>
      <c r="N47" s="1875"/>
      <c r="O47" s="1875"/>
      <c r="P47" s="1875"/>
      <c r="Z47" s="1857">
        <v>23</v>
      </c>
    </row>
    <row r="48" spans="1:26" s="1856" customFormat="1" ht="13.35" customHeight="1">
      <c r="B48" s="1858" t="s">
        <v>2128</v>
      </c>
      <c r="F48" s="1877">
        <f>'Part I-Project Information'!F24</f>
        <v>187073535</v>
      </c>
      <c r="G48" s="1877"/>
      <c r="H48" s="1877"/>
      <c r="I48" s="1858" t="s">
        <v>1643</v>
      </c>
      <c r="J48" s="1878">
        <f>'Part I-Project Information'!J24</f>
        <v>2673868668</v>
      </c>
      <c r="K48" s="1878"/>
      <c r="L48" s="1857" t="s">
        <v>1642</v>
      </c>
      <c r="M48" s="1879">
        <f>'Part I-Project Information'!M24</f>
        <v>0</v>
      </c>
      <c r="N48" s="1858" t="s">
        <v>1644</v>
      </c>
      <c r="O48" s="1878">
        <f>'Part I-Project Information'!O24</f>
        <v>2673868668</v>
      </c>
      <c r="P48" s="1878"/>
      <c r="Z48" s="1857">
        <v>24</v>
      </c>
    </row>
    <row r="49" spans="1:26" s="1856" customFormat="1" ht="13.35" customHeight="1">
      <c r="B49" s="1858" t="s">
        <v>1894</v>
      </c>
      <c r="F49" s="1863" t="str">
        <f>'Part I-Project Information'!F25</f>
        <v>mdambly@pennrose.com</v>
      </c>
      <c r="G49" s="1863"/>
      <c r="H49" s="1863"/>
      <c r="I49" s="1863"/>
      <c r="J49" s="1863"/>
      <c r="K49" s="1863"/>
      <c r="N49" s="1858" t="s">
        <v>1889</v>
      </c>
      <c r="O49" s="1878">
        <f>'Part I-Project Information'!O25</f>
        <v>0</v>
      </c>
      <c r="P49" s="1878"/>
      <c r="Z49" s="1857">
        <v>25</v>
      </c>
    </row>
    <row r="50" spans="1:26" s="1856" customFormat="1" ht="13.5" customHeight="1">
      <c r="A50" s="1857"/>
      <c r="B50" s="1856" t="s">
        <v>3823</v>
      </c>
      <c r="C50" s="1865"/>
      <c r="H50" s="1857"/>
      <c r="J50" s="1865"/>
      <c r="P50" s="1880"/>
      <c r="Z50" s="1857">
        <v>26</v>
      </c>
    </row>
    <row r="51" spans="1:26" s="1856" customFormat="1" ht="13.35" customHeight="1">
      <c r="B51" s="1856" t="s">
        <v>3434</v>
      </c>
      <c r="F51" s="1863" t="str">
        <f>'Part I-Project Information'!F27</f>
        <v>Pennrose LLC</v>
      </c>
      <c r="G51" s="1863"/>
      <c r="H51" s="1863"/>
      <c r="I51" s="1856" t="s">
        <v>1716</v>
      </c>
      <c r="J51" s="1863" t="str">
        <f>'Part I-Project Information'!J27</f>
        <v>Amon Martin</v>
      </c>
      <c r="K51" s="1863"/>
      <c r="L51" s="1863"/>
      <c r="M51" s="1858" t="s">
        <v>1890</v>
      </c>
      <c r="N51" s="1863" t="str">
        <f>'Part I-Project Information'!N27</f>
        <v>Regional Vice President</v>
      </c>
      <c r="O51" s="1863"/>
      <c r="P51" s="1863"/>
      <c r="Z51" s="1857">
        <v>27</v>
      </c>
    </row>
    <row r="52" spans="1:26" s="1856" customFormat="1" ht="13.35" customHeight="1">
      <c r="B52" s="1858" t="s">
        <v>1891</v>
      </c>
      <c r="F52" s="1863" t="str">
        <f>'Part I-Project Information'!F28</f>
        <v>675 Ponce de Leon Avenue NE, Suite 8500</v>
      </c>
      <c r="G52" s="1863"/>
      <c r="H52" s="1863"/>
      <c r="I52" s="1863"/>
      <c r="J52" s="1863"/>
      <c r="K52" s="1863"/>
      <c r="L52" s="1863"/>
      <c r="M52" s="1875" t="s">
        <v>3433</v>
      </c>
      <c r="N52" s="1875"/>
      <c r="O52" s="1875"/>
      <c r="P52" s="1875"/>
      <c r="Z52" s="1868">
        <v>28</v>
      </c>
    </row>
    <row r="53" spans="1:26" s="1856" customFormat="1" ht="13.35" customHeight="1">
      <c r="B53" s="1858" t="s">
        <v>588</v>
      </c>
      <c r="F53" s="1863" t="str">
        <f>'Part I-Project Information'!F29</f>
        <v>Atlanta</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303081884</v>
      </c>
      <c r="G54" s="1877"/>
      <c r="H54" s="1877"/>
      <c r="I54" s="1858" t="s">
        <v>1643</v>
      </c>
      <c r="J54" s="1878">
        <f>'Part I-Project Information'!J30</f>
        <v>4707476126</v>
      </c>
      <c r="K54" s="1878"/>
      <c r="L54" s="1857" t="s">
        <v>1642</v>
      </c>
      <c r="M54" s="1879">
        <f>'Part I-Project Information'!M30</f>
        <v>0</v>
      </c>
      <c r="N54" s="1858" t="s">
        <v>1644</v>
      </c>
      <c r="O54" s="1878">
        <f>'Part I-Project Information'!O30</f>
        <v>4707476126</v>
      </c>
      <c r="P54" s="1878"/>
      <c r="Z54" s="1857">
        <v>30</v>
      </c>
    </row>
    <row r="55" spans="1:26" s="1856" customFormat="1" ht="13.35" customHeight="1">
      <c r="B55" s="1858" t="s">
        <v>1894</v>
      </c>
      <c r="F55" s="1863" t="str">
        <f>'Part I-Project Information'!F31</f>
        <v>amartin@pennrose.com</v>
      </c>
      <c r="G55" s="1863"/>
      <c r="H55" s="1863"/>
      <c r="I55" s="1863"/>
      <c r="J55" s="1863"/>
      <c r="K55" s="1863"/>
      <c r="N55" s="1858" t="s">
        <v>1889</v>
      </c>
      <c r="O55" s="1878">
        <f>'Part I-Project Information'!O31</f>
        <v>4705852413</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Roswell Redevelopment Phase I</v>
      </c>
      <c r="G59" s="1872"/>
      <c r="H59" s="1872"/>
      <c r="I59" s="1872"/>
      <c r="J59" s="1872"/>
      <c r="K59" s="1872"/>
      <c r="L59" s="1858" t="s">
        <v>2097</v>
      </c>
      <c r="O59" s="1863" t="str">
        <f>'Part I-Project Information'!O35</f>
        <v>Yes - no Master Plan</v>
      </c>
      <c r="P59" s="1863"/>
      <c r="Z59" s="1857">
        <v>35</v>
      </c>
    </row>
    <row r="60" spans="1:26" s="1856" customFormat="1" ht="13.35" customHeight="1">
      <c r="A60" s="1860"/>
      <c r="B60" s="1856" t="s">
        <v>2548</v>
      </c>
      <c r="D60" s="1860"/>
      <c r="F60" s="1872" t="str">
        <f>'Part I-Project Information'!F36</f>
        <v>151 Oak Street</v>
      </c>
      <c r="G60" s="1872"/>
      <c r="H60" s="1872"/>
      <c r="I60" s="1872"/>
      <c r="J60" s="1872"/>
      <c r="K60" s="1872"/>
      <c r="L60" s="1856" t="s">
        <v>3320</v>
      </c>
      <c r="O60" s="1863">
        <f>'Part I-Project Information'!O36</f>
        <v>0</v>
      </c>
      <c r="P60" s="1863"/>
      <c r="Z60" s="1857">
        <v>36</v>
      </c>
    </row>
    <row r="61" spans="1:26" s="1856" customFormat="1" ht="13.35" customHeight="1">
      <c r="A61" s="1860"/>
      <c r="B61" s="1856" t="s">
        <v>7022</v>
      </c>
      <c r="D61" s="1860"/>
      <c r="F61" s="1872" t="str">
        <f>'Part I-Project Information'!F37</f>
        <v>151 Oak Street</v>
      </c>
      <c r="G61" s="1872"/>
      <c r="H61" s="1872"/>
      <c r="I61" s="1872"/>
      <c r="J61" s="1872"/>
      <c r="K61" s="1872"/>
      <c r="L61" s="1858" t="s">
        <v>1958</v>
      </c>
      <c r="N61" s="1879" t="str">
        <f>'Part I-Project Information'!N37</f>
        <v>No</v>
      </c>
      <c r="O61" s="1857" t="s">
        <v>3319</v>
      </c>
      <c r="P61" s="1879">
        <f>'Part I-Project Information'!P37</f>
        <v>1</v>
      </c>
      <c r="Z61" s="1857">
        <v>37</v>
      </c>
    </row>
    <row r="62" spans="1:26" s="1856" customFormat="1" ht="13.35" customHeight="1">
      <c r="A62" s="1860"/>
      <c r="B62" s="1856" t="s">
        <v>3361</v>
      </c>
      <c r="D62" s="1860"/>
      <c r="F62" s="1856" t="s">
        <v>3346</v>
      </c>
      <c r="G62" s="1881">
        <f>'Part I-Project Information'!G38</f>
        <v>34.019480000000001</v>
      </c>
      <c r="H62" s="1881"/>
      <c r="I62" s="1857" t="s">
        <v>3347</v>
      </c>
      <c r="J62" s="1881">
        <f>'Part I-Project Information'!J38</f>
        <v>-84.356890000000007</v>
      </c>
      <c r="K62" s="1881"/>
      <c r="L62" s="1858" t="s">
        <v>2180</v>
      </c>
      <c r="O62" s="1882">
        <f>'Part I-Project Information'!O38</f>
        <v>2.8651</v>
      </c>
      <c r="P62" s="1882"/>
      <c r="Z62" s="1868">
        <v>38</v>
      </c>
    </row>
    <row r="63" spans="1:26" s="1856" customFormat="1" ht="13.35" customHeight="1">
      <c r="A63" s="1857"/>
      <c r="B63" s="1856" t="s">
        <v>588</v>
      </c>
      <c r="F63" s="1863" t="str">
        <f>'Part I-Project Information'!F39</f>
        <v>Roswell</v>
      </c>
      <c r="G63" s="1863"/>
      <c r="H63" s="1863"/>
      <c r="I63" s="1883" t="s">
        <v>7085</v>
      </c>
      <c r="J63" s="1877">
        <f>'Part I-Project Information'!J39</f>
        <v>300754584</v>
      </c>
      <c r="K63" s="1877"/>
      <c r="L63" s="1856" t="str">
        <f>IF(AND(NOT(F59=""),NOT(F63="Select from list"),J63=""),"Enter Zip!","")</f>
        <v/>
      </c>
      <c r="M63" s="1884" t="s">
        <v>2693</v>
      </c>
      <c r="O63" s="1885" t="str">
        <f>'Part I-Project Information'!O39</f>
        <v>114.05</v>
      </c>
      <c r="P63" s="1886"/>
      <c r="Z63" s="1857">
        <v>39</v>
      </c>
    </row>
    <row r="64" spans="1:26" s="1856" customFormat="1" ht="13.35" customHeight="1">
      <c r="A64" s="1857"/>
      <c r="B64" s="1856" t="s">
        <v>4096</v>
      </c>
      <c r="F64" s="1863" t="str">
        <f>'Part I-Project Information'!F40</f>
        <v>City Limits</v>
      </c>
      <c r="G64" s="1863"/>
      <c r="H64" s="1863"/>
      <c r="I64" s="1887" t="s">
        <v>589</v>
      </c>
      <c r="J64" s="1872" t="str">
        <f>'Part I-Project Information'!J40</f>
        <v>Fulton</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2610</v>
      </c>
      <c r="K65" s="1857" t="str">
        <f>'Part I-Project Information'!K41</f>
        <v>Urban</v>
      </c>
      <c r="M65" s="1858" t="s">
        <v>2487</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7086</v>
      </c>
      <c r="F67" s="1865" t="s">
        <v>2592</v>
      </c>
      <c r="G67" s="1865"/>
      <c r="H67" s="1856" t="s">
        <v>706</v>
      </c>
      <c r="J67" s="1856" t="s">
        <v>707</v>
      </c>
      <c r="L67" s="1890" t="s">
        <v>7087</v>
      </c>
      <c r="Z67" s="1857">
        <v>43</v>
      </c>
    </row>
    <row r="68" spans="1:26" s="1856" customFormat="1" ht="13.35" customHeight="1">
      <c r="A68" s="1857"/>
      <c r="B68" s="1856" t="s">
        <v>7023</v>
      </c>
      <c r="F68" s="1891">
        <f>'Part I-Project Information'!F44</f>
        <v>6</v>
      </c>
      <c r="G68" s="1891"/>
      <c r="H68" s="1891">
        <f>'Part I-Project Information'!H44</f>
        <v>56</v>
      </c>
      <c r="I68" s="1891"/>
      <c r="J68" s="1891">
        <f>'Part I-Project Information'!J44</f>
        <v>48</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The City of Roswell</v>
      </c>
      <c r="G71" s="1894"/>
      <c r="H71" s="1894"/>
      <c r="I71" s="1894"/>
      <c r="J71" s="1894"/>
      <c r="K71" s="1894"/>
      <c r="L71" s="1895" t="s">
        <v>2553</v>
      </c>
      <c r="M71" s="1863" t="str">
        <f>'Part I-Project Information'!M47</f>
        <v>https://www.roswellgov.com/home</v>
      </c>
      <c r="N71" s="1863"/>
      <c r="O71" s="1863"/>
      <c r="P71" s="1863"/>
      <c r="Z71" s="1868">
        <v>47</v>
      </c>
    </row>
    <row r="72" spans="1:26" s="1856" customFormat="1" ht="13.35" customHeight="1">
      <c r="A72" s="1857"/>
      <c r="B72" s="1856" t="s">
        <v>608</v>
      </c>
      <c r="F72" s="1894" t="str">
        <f>'Part I-Project Information'!F48</f>
        <v>Lori Henry</v>
      </c>
      <c r="G72" s="1894"/>
      <c r="H72" s="1894"/>
      <c r="I72" s="1857" t="s">
        <v>1890</v>
      </c>
      <c r="J72" s="1863" t="str">
        <f>'Part I-Project Information'!J48</f>
        <v>Mayor of Roswell</v>
      </c>
      <c r="K72" s="1863"/>
      <c r="L72" s="1895"/>
      <c r="Z72" s="1857">
        <v>48</v>
      </c>
    </row>
    <row r="73" spans="1:26" s="1856" customFormat="1" ht="13.35" customHeight="1">
      <c r="A73" s="1857"/>
      <c r="B73" s="1856" t="s">
        <v>1891</v>
      </c>
      <c r="F73" s="1894" t="str">
        <f>'Part I-Project Information'!F49</f>
        <v>38 Hill Street</v>
      </c>
      <c r="G73" s="1894"/>
      <c r="H73" s="1894"/>
      <c r="I73" s="1894"/>
      <c r="J73" s="1894"/>
      <c r="K73" s="1894"/>
      <c r="L73" s="1858" t="s">
        <v>588</v>
      </c>
      <c r="M73" s="1894" t="str">
        <f>'Part I-Project Information'!M49</f>
        <v>Roswell</v>
      </c>
      <c r="N73" s="1894"/>
      <c r="O73" s="1894"/>
      <c r="P73" s="1894"/>
      <c r="Z73" s="1857">
        <v>49</v>
      </c>
    </row>
    <row r="74" spans="1:26" s="1856" customFormat="1" ht="13.35" customHeight="1">
      <c r="A74" s="1857"/>
      <c r="B74" s="1858" t="s">
        <v>2128</v>
      </c>
      <c r="F74" s="1877">
        <f>'Part I-Project Information'!F50</f>
        <v>300754537</v>
      </c>
      <c r="G74" s="1877"/>
      <c r="H74" s="1857" t="s">
        <v>1892</v>
      </c>
      <c r="I74" s="1878">
        <f>'Part I-Project Information'!I50</f>
        <v>7705946288</v>
      </c>
      <c r="J74" s="1878"/>
      <c r="K74" s="1878"/>
      <c r="L74" s="1858" t="s">
        <v>1718</v>
      </c>
      <c r="M74" s="1894" t="str">
        <f>'Part I-Project Information'!M50</f>
        <v>mayorhenry@roswellgov.com</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7024</v>
      </c>
      <c r="K78" s="1864"/>
      <c r="M78" s="1892"/>
      <c r="N78" s="1892"/>
      <c r="O78" s="1892"/>
      <c r="P78" s="1892"/>
      <c r="Q78" s="1857"/>
      <c r="Z78" s="1857">
        <v>54</v>
      </c>
    </row>
    <row r="79" spans="1:26" s="1865" customFormat="1" ht="13.35" customHeight="1">
      <c r="B79" s="1857"/>
      <c r="C79" s="1856" t="s">
        <v>2192</v>
      </c>
      <c r="D79" s="1856"/>
      <c r="E79" s="1856"/>
      <c r="H79" s="1897">
        <f>'Part I-Project Information'!H55</f>
        <v>95</v>
      </c>
      <c r="K79" s="1858" t="s">
        <v>3312</v>
      </c>
      <c r="L79" s="1856"/>
      <c r="M79" s="1898" t="s">
        <v>3311</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3256</v>
      </c>
      <c r="J85" s="1860" t="s">
        <v>2021</v>
      </c>
      <c r="K85" s="1865" t="s">
        <v>2198</v>
      </c>
      <c r="P85" s="1857"/>
      <c r="Q85" s="1857"/>
      <c r="R85" s="1857"/>
      <c r="Z85" s="1857">
        <v>61</v>
      </c>
    </row>
    <row r="86" spans="1:26" s="1856" customFormat="1" ht="13.35" customHeight="1">
      <c r="A86" s="1857"/>
      <c r="B86" s="1903"/>
      <c r="C86" s="1865" t="s">
        <v>2174</v>
      </c>
      <c r="H86" s="1897">
        <f>'Part I-Project Information'!H62</f>
        <v>95</v>
      </c>
      <c r="I86" s="1904">
        <f>'Part VI-Revenues &amp; Expenses'!$P$100</f>
        <v>95</v>
      </c>
      <c r="J86" s="1857"/>
      <c r="K86" s="1865" t="s">
        <v>2600</v>
      </c>
      <c r="P86" s="1897">
        <f>'Part I-Project Information'!P62</f>
        <v>75200</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95</v>
      </c>
      <c r="J88" s="1857"/>
      <c r="K88" s="1865" t="s">
        <v>2602</v>
      </c>
      <c r="P88" s="1897">
        <f>'Part I-Project Information'!P64</f>
        <v>75200</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95</v>
      </c>
      <c r="K90" s="1865" t="s">
        <v>1369</v>
      </c>
      <c r="P90" s="1897">
        <f>'Part I-Project Information'!P66</f>
        <v>75200</v>
      </c>
      <c r="Z90" s="1868">
        <v>66</v>
      </c>
    </row>
    <row r="91" spans="1:26" s="1856" customFormat="1" ht="3" customHeight="1">
      <c r="A91" s="1857"/>
      <c r="I91" s="1857"/>
      <c r="L91" s="1857"/>
      <c r="M91" s="1857"/>
      <c r="P91" s="1880"/>
      <c r="Z91" s="1857">
        <v>67</v>
      </c>
    </row>
    <row r="92" spans="1:26" s="1856" customFormat="1" ht="11.25" customHeight="1">
      <c r="A92" s="1857"/>
      <c r="H92" s="1857" t="s">
        <v>3440</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3</v>
      </c>
      <c r="I93" s="1879">
        <f>'Part I-Project Information'!I69</f>
        <v>6</v>
      </c>
      <c r="K93" s="1865" t="s">
        <v>7088</v>
      </c>
      <c r="P93" s="1879">
        <f>'Part I-Project Information'!P69</f>
        <v>2950</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78150</v>
      </c>
      <c r="Z94" s="1857">
        <v>70</v>
      </c>
    </row>
    <row r="95" spans="1:26" s="1856" customFormat="1" ht="13.35" customHeight="1">
      <c r="A95" s="1857"/>
      <c r="B95" s="1857"/>
      <c r="D95" s="1903" t="s">
        <v>1908</v>
      </c>
      <c r="H95" s="1904">
        <f>+H93+H94</f>
        <v>3</v>
      </c>
      <c r="I95" s="1904">
        <f>+I93+I94</f>
        <v>6</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132</v>
      </c>
      <c r="K97" s="1905" t="s">
        <v>6775</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7089</v>
      </c>
      <c r="D101" s="1903"/>
      <c r="E101" s="1906" t="s">
        <v>6601</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6602</v>
      </c>
      <c r="K103" s="1907" t="s">
        <v>4023</v>
      </c>
      <c r="L103" s="1908" t="s">
        <v>2698</v>
      </c>
      <c r="M103" s="1879">
        <f>'Part I-Project Information'!M79</f>
        <v>0</v>
      </c>
      <c r="N103" s="1908" t="s">
        <v>2699</v>
      </c>
      <c r="O103" s="1879">
        <f>'Part I-Project Information'!O79</f>
        <v>0</v>
      </c>
      <c r="P103" s="1858" t="s">
        <v>4022</v>
      </c>
      <c r="Z103" s="1857">
        <v>79</v>
      </c>
    </row>
    <row r="104" spans="1:26" s="1856" customFormat="1">
      <c r="A104" s="1857"/>
      <c r="B104" s="1857"/>
      <c r="D104" s="1858"/>
      <c r="E104" s="1903"/>
      <c r="J104" s="1907"/>
      <c r="K104" s="1907"/>
      <c r="L104" s="1860" t="s">
        <v>2700</v>
      </c>
      <c r="M104" s="1879">
        <f>'Part I-Project Information'!M80</f>
        <v>0</v>
      </c>
      <c r="N104" s="1860" t="s">
        <v>3430</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7090</v>
      </c>
      <c r="D106" s="1903"/>
      <c r="E106" s="1906" t="s">
        <v>6604</v>
      </c>
      <c r="G106" s="1857"/>
      <c r="H106" s="1863" t="str">
        <f>'Part I-Project Information'!H82</f>
        <v>Family</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4023</v>
      </c>
      <c r="L108" s="1908" t="s">
        <v>2698</v>
      </c>
      <c r="M108" s="1879">
        <f>'Part I-Project Information'!M84</f>
        <v>0</v>
      </c>
      <c r="N108" s="1908" t="s">
        <v>2699</v>
      </c>
      <c r="O108" s="1879">
        <f>'Part I-Project Information'!O84</f>
        <v>0</v>
      </c>
      <c r="P108" s="1858" t="s">
        <v>4022</v>
      </c>
      <c r="Z108" s="1868">
        <v>84</v>
      </c>
    </row>
    <row r="109" spans="1:26" s="1856" customFormat="1">
      <c r="A109" s="1857"/>
      <c r="B109" s="1857"/>
      <c r="D109" s="1858"/>
      <c r="E109" s="1903"/>
      <c r="J109" s="1907"/>
      <c r="K109" s="1907"/>
      <c r="L109" s="1860" t="s">
        <v>2700</v>
      </c>
      <c r="M109" s="1879">
        <f>'Part I-Project Information'!M85</f>
        <v>0</v>
      </c>
      <c r="N109" s="1860" t="s">
        <v>3430</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5</v>
      </c>
      <c r="K111" s="1856" t="s">
        <v>495</v>
      </c>
      <c r="N111" s="1909">
        <f>'Part I-Project Information'!N87</f>
        <v>5.2631578947368418E-2</v>
      </c>
      <c r="O111" s="1860" t="s">
        <v>3329</v>
      </c>
      <c r="P111" s="1910">
        <f>'DCA Underwriting Assumptions'!$Q$155</f>
        <v>0.05</v>
      </c>
      <c r="Z111" s="1857">
        <v>87</v>
      </c>
    </row>
    <row r="112" spans="1:26" s="1856" customFormat="1">
      <c r="A112" s="1857"/>
      <c r="B112" s="1857"/>
      <c r="D112" s="1903" t="s">
        <v>2634</v>
      </c>
      <c r="E112" s="1903"/>
      <c r="F112" s="1903" t="s">
        <v>764</v>
      </c>
      <c r="H112" s="1897">
        <f>'Part I-Project Information'!H88</f>
        <v>2</v>
      </c>
      <c r="K112" s="1856" t="s">
        <v>2635</v>
      </c>
      <c r="N112" s="1909">
        <f>'Part I-Project Information'!N88</f>
        <v>0.4</v>
      </c>
      <c r="O112" s="1860" t="s">
        <v>3329</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2.1052631578947368E-2</v>
      </c>
      <c r="O114" s="1860" t="s">
        <v>3329</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3989</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4095</v>
      </c>
      <c r="L119" s="1857"/>
      <c r="M119" s="1857"/>
      <c r="Z119" s="1857">
        <v>95</v>
      </c>
    </row>
    <row r="120" spans="1:26" s="1856" customFormat="1" ht="13.35" customHeight="1">
      <c r="B120" s="1857" t="s">
        <v>1895</v>
      </c>
      <c r="C120" s="1856" t="s">
        <v>1473</v>
      </c>
      <c r="K120" s="1858" t="s">
        <v>4010</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t="str">
        <f>'Part I-Project Information'!M100</f>
        <v>No</v>
      </c>
      <c r="O124" s="1860" t="s">
        <v>3929</v>
      </c>
      <c r="P124" s="1879" t="str">
        <f>'Part I-Project Information'!P100</f>
        <v>No</v>
      </c>
      <c r="Z124" s="1857">
        <v>100</v>
      </c>
    </row>
    <row r="125" spans="1:26" s="1856" customFormat="1" ht="13.35" customHeight="1">
      <c r="A125" s="1865"/>
      <c r="B125" s="1857"/>
      <c r="F125" s="1903" t="s">
        <v>3445</v>
      </c>
      <c r="H125" s="1879" t="str">
        <f>'Part I-Project Information'!H101</f>
        <v>No</v>
      </c>
      <c r="K125" s="1858" t="s">
        <v>6314</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6313</v>
      </c>
      <c r="D129" s="1903"/>
      <c r="H129" s="1863" t="str">
        <f>'Part I-Project Information'!H105</f>
        <v>Atlanta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t="str">
        <f>'Part I-Project Information'!E109</f>
        <v>N/A</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3305</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3</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2727390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Pennrose Holdings LLC</v>
      </c>
      <c r="D149" s="1869"/>
      <c r="E149" s="1869"/>
      <c r="F149" s="1869" t="str">
        <f>'Part I-Project Information'!F125</f>
        <v>West Point Village Phase II</v>
      </c>
      <c r="G149" s="1869"/>
      <c r="H149" s="1869"/>
      <c r="I149" s="1916" t="str">
        <f>'Part I-Project Information'!I125</f>
        <v>Direct</v>
      </c>
      <c r="J149" s="1869" t="str">
        <f>'Part I-Project Information'!J125</f>
        <v>Pennrose Holdings LLC</v>
      </c>
      <c r="K149" s="1869"/>
      <c r="L149" s="1869"/>
      <c r="M149" s="1869" t="str">
        <f>'Part I-Project Information'!M125</f>
        <v>Roswell Redevelopment Phase I</v>
      </c>
      <c r="N149" s="1869"/>
      <c r="O149" s="1869"/>
      <c r="P149" s="1916" t="str">
        <f>'Part I-Project Information'!P125</f>
        <v>Direct</v>
      </c>
      <c r="Z149" s="1857">
        <v>125</v>
      </c>
    </row>
    <row r="150" spans="1:26" s="1856" customFormat="1" ht="13.35" customHeight="1">
      <c r="A150" s="1857"/>
      <c r="B150" s="1857"/>
      <c r="C150" s="1869" t="str">
        <f>'Part I-Project Information'!C126</f>
        <v>Pennrose LLC</v>
      </c>
      <c r="D150" s="1869"/>
      <c r="E150" s="1869"/>
      <c r="F150" s="1869" t="str">
        <f>'Part I-Project Information'!F126</f>
        <v>West Point Village Phase II</v>
      </c>
      <c r="G150" s="1869"/>
      <c r="H150" s="1869"/>
      <c r="I150" s="1916" t="str">
        <f>'Part I-Project Information'!I126</f>
        <v>Direct</v>
      </c>
      <c r="J150" s="1869" t="str">
        <f>'Part I-Project Information'!J126</f>
        <v>Pennrose LLC</v>
      </c>
      <c r="K150" s="1869"/>
      <c r="L150" s="1869"/>
      <c r="M150" s="1869" t="str">
        <f>'Part I-Project Information'!M126</f>
        <v>Roswell Redevelopment Phase I</v>
      </c>
      <c r="N150" s="1869"/>
      <c r="O150" s="1869"/>
      <c r="P150" s="1916" t="str">
        <f>'Part I-Project Information'!P126</f>
        <v>Direct</v>
      </c>
      <c r="Z150" s="1857">
        <v>126</v>
      </c>
    </row>
    <row r="151" spans="1:26" s="1856" customFormat="1" ht="13.35" customHeight="1">
      <c r="A151" s="1857"/>
      <c r="B151" s="1857"/>
      <c r="C151" s="1869" t="str">
        <f>'Part I-Project Information'!C127</f>
        <v>HUNT PR Holdings, LLC</v>
      </c>
      <c r="D151" s="1869"/>
      <c r="E151" s="1869"/>
      <c r="F151" s="1869" t="str">
        <f>'Part I-Project Information'!F127</f>
        <v>West Point Village Phase II</v>
      </c>
      <c r="G151" s="1869"/>
      <c r="H151" s="1869"/>
      <c r="I151" s="1916" t="str">
        <f>'Part I-Project Information'!I127</f>
        <v>Direct</v>
      </c>
      <c r="J151" s="1869" t="str">
        <f>'Part I-Project Information'!J127</f>
        <v>HUNT PR Holdings, LLC</v>
      </c>
      <c r="K151" s="1869"/>
      <c r="L151" s="1869"/>
      <c r="M151" s="1869" t="str">
        <f>'Part I-Project Information'!M127</f>
        <v>Roswell Redevelopment Phase I</v>
      </c>
      <c r="N151" s="1869"/>
      <c r="O151" s="1869"/>
      <c r="P151" s="1916" t="str">
        <f>'Part I-Project Information'!P127</f>
        <v>Direct</v>
      </c>
      <c r="Z151" s="1857">
        <v>127</v>
      </c>
    </row>
    <row r="152" spans="1:26" s="1856" customFormat="1" ht="13.35" customHeight="1">
      <c r="A152" s="1857"/>
      <c r="B152" s="1857"/>
      <c r="C152" s="1869" t="str">
        <f>'Part I-Project Information'!C128</f>
        <v>Collaborative Housing Solutions, Inc.</v>
      </c>
      <c r="D152" s="1869"/>
      <c r="E152" s="1869"/>
      <c r="F152" s="1869" t="str">
        <f>'Part I-Project Information'!F128</f>
        <v>West Point Village Phase II</v>
      </c>
      <c r="G152" s="1869"/>
      <c r="H152" s="1869"/>
      <c r="I152" s="1916" t="str">
        <f>'Part I-Project Information'!I128</f>
        <v>Direct</v>
      </c>
      <c r="J152" s="1869" t="str">
        <f>'Part I-Project Information'!J128</f>
        <v>Housing Authority of the City of Roswell</v>
      </c>
      <c r="K152" s="1869"/>
      <c r="L152" s="1869"/>
      <c r="M152" s="1869" t="str">
        <f>'Part I-Project Information'!M128</f>
        <v>Roswell Redevelopment Phase I</v>
      </c>
      <c r="N152" s="1869"/>
      <c r="O152" s="1869"/>
      <c r="P152" s="1916" t="str">
        <f>'Part I-Project Information'!P128</f>
        <v>Direct</v>
      </c>
      <c r="Z152" s="1857">
        <v>128</v>
      </c>
    </row>
    <row r="153" spans="1:26" s="1856" customFormat="1" ht="13.35" customHeight="1">
      <c r="A153" s="1857"/>
      <c r="B153" s="1857"/>
      <c r="C153" s="1869" t="str">
        <f>'Part I-Project Information'!C129</f>
        <v>Housing Authority of the City of West Point</v>
      </c>
      <c r="D153" s="1869"/>
      <c r="E153" s="1869"/>
      <c r="F153" s="1869" t="str">
        <f>'Part I-Project Information'!F129</f>
        <v>West Point Village Phase II</v>
      </c>
      <c r="G153" s="1869"/>
      <c r="H153" s="1869"/>
      <c r="I153" s="1916" t="str">
        <f>'Part I-Project Information'!I129</f>
        <v>Direct</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t="str">
        <f>'Part I-Project Information'!C130</f>
        <v>TWC Housing LLC / HUNT ELP, LTD</v>
      </c>
      <c r="D154" s="1869"/>
      <c r="E154" s="1869"/>
      <c r="F154" s="1869" t="str">
        <f>'Part I-Project Information'!F130</f>
        <v>River Pointe II Phase II</v>
      </c>
      <c r="G154" s="1869"/>
      <c r="H154" s="1869"/>
      <c r="I154" s="1916" t="str">
        <f>'Part I-Project Information'!I130</f>
        <v>Direct</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t="str">
        <f>'Part I-Project Information'!C135</f>
        <v>Pennrose Holdings LLC</v>
      </c>
      <c r="D159" s="1869"/>
      <c r="E159" s="1869"/>
      <c r="F159" s="1869" t="str">
        <f>'Part I-Project Information'!F135</f>
        <v>Roswell Redevelopment Phase I</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t="str">
        <f>'Part I-Project Information'!C136</f>
        <v>Pennrose LLC</v>
      </c>
      <c r="D160" s="1869"/>
      <c r="E160" s="1869"/>
      <c r="F160" s="1869" t="str">
        <f>'Part I-Project Information'!F136</f>
        <v>Roswell Redevelopment Phase I</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t="str">
        <f>'Part I-Project Information'!C137</f>
        <v>HUNT PR Holdings, LLC</v>
      </c>
      <c r="D161" s="1869"/>
      <c r="E161" s="1869"/>
      <c r="F161" s="1869" t="str">
        <f>'Part I-Project Information'!F137</f>
        <v>Roswell Redevelopment Phase I</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t="str">
        <f>'Part I-Project Information'!C138</f>
        <v>Housing Authority of the City of Roswell</v>
      </c>
      <c r="D162" s="1869"/>
      <c r="E162" s="1869"/>
      <c r="F162" s="1869" t="str">
        <f>'Part I-Project Information'!F138</f>
        <v>Roswell Redevelopment Phase I</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7025</v>
      </c>
      <c r="I166" s="1879" t="str">
        <f>'Part I-Project Information'!I142</f>
        <v>No</v>
      </c>
      <c r="K166" s="1856" t="s">
        <v>6479</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6835</v>
      </c>
      <c r="I168" s="1879">
        <f>'Part I-Project Information'!I144</f>
        <v>0</v>
      </c>
      <c r="K168" s="1856" t="s">
        <v>6480</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6482</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6483</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6396</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6836</v>
      </c>
      <c r="I175" s="1879">
        <f>'Part I-Project Information'!I151</f>
        <v>0</v>
      </c>
      <c r="K175" s="1856" t="s">
        <v>6480</v>
      </c>
      <c r="M175" s="1857"/>
      <c r="O175" s="1913">
        <f>'Part I-Project Information'!O151</f>
        <v>0</v>
      </c>
      <c r="P175" s="1913"/>
      <c r="Z175" s="1857">
        <v>151</v>
      </c>
    </row>
    <row r="176" spans="1:26" s="1856" customFormat="1" ht="12" customHeight="1">
      <c r="A176" s="1857"/>
      <c r="B176" s="1857"/>
      <c r="C176" s="1903" t="s">
        <v>6397</v>
      </c>
      <c r="D176" s="1903"/>
      <c r="E176" s="1903"/>
      <c r="F176" s="1857"/>
      <c r="I176" s="1917">
        <f>'Part I-Project Information'!I152</f>
        <v>0</v>
      </c>
      <c r="K176" s="1856" t="s">
        <v>6482</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6483</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6396</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7091</v>
      </c>
      <c r="F182" s="1865"/>
      <c r="G182" s="1865"/>
      <c r="I182" s="1918">
        <f>'Part I-Project Information'!I158</f>
        <v>0</v>
      </c>
      <c r="K182" s="1865" t="s">
        <v>4086</v>
      </c>
      <c r="L182" s="1865"/>
      <c r="M182" s="1865"/>
      <c r="O182" s="1918">
        <f>'Part I-Project Information'!O158</f>
        <v>0</v>
      </c>
      <c r="P182" s="1880"/>
      <c r="Z182" s="1857">
        <v>158</v>
      </c>
    </row>
    <row r="183" spans="1:26" s="1856" customFormat="1" ht="12" customHeight="1">
      <c r="A183" s="1857"/>
      <c r="C183" s="1903"/>
      <c r="D183" s="1903"/>
      <c r="E183" s="1865" t="s">
        <v>7092</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4083</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Yes</v>
      </c>
      <c r="Z190" s="1857">
        <v>166</v>
      </c>
    </row>
    <row r="191" spans="1:26" s="1856" customFormat="1" ht="12.6" customHeight="1">
      <c r="A191" s="1857"/>
      <c r="B191" s="1857"/>
      <c r="C191" s="1907" t="s">
        <v>6837</v>
      </c>
      <c r="D191" s="1907"/>
      <c r="E191" s="1907"/>
      <c r="F191" s="1907"/>
      <c r="I191" s="1856" t="s">
        <v>3962</v>
      </c>
      <c r="K191" s="1907"/>
      <c r="L191" s="1907"/>
      <c r="N191" s="1920">
        <f>'Part I-Project Information'!N167</f>
        <v>95</v>
      </c>
      <c r="P191" s="1921">
        <f>'Part I-Project Information'!P167</f>
        <v>1</v>
      </c>
      <c r="Z191" s="1857">
        <v>167</v>
      </c>
    </row>
    <row r="192" spans="1:26" s="1856" customFormat="1" ht="12.6" customHeight="1">
      <c r="A192" s="1857"/>
      <c r="B192" s="1857"/>
      <c r="D192" s="1907"/>
      <c r="E192" s="1907"/>
      <c r="F192" s="1907"/>
      <c r="I192" s="1856" t="s">
        <v>3961</v>
      </c>
      <c r="K192" s="1907"/>
      <c r="L192" s="1907"/>
      <c r="N192" s="1920">
        <f>'Part I-Project Information'!N168</f>
        <v>95</v>
      </c>
      <c r="P192" s="1921">
        <f>'Part I-Project Information'!P168</f>
        <v>1</v>
      </c>
      <c r="Z192" s="1868">
        <v>168</v>
      </c>
    </row>
    <row r="193" spans="1:26" s="1856" customFormat="1" ht="12" customHeight="1">
      <c r="A193" s="1857"/>
      <c r="B193" s="1857"/>
      <c r="C193" s="1865" t="s">
        <v>6303</v>
      </c>
      <c r="D193" s="1883"/>
      <c r="E193" s="1883"/>
      <c r="F193" s="1857"/>
      <c r="G193" s="1857"/>
      <c r="H193" s="1857"/>
      <c r="I193" s="1918" t="str">
        <f>'Part I-Project Information'!I169</f>
        <v>Yes</v>
      </c>
      <c r="J193" s="1858" t="s">
        <v>6304</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t="str">
        <f>'Part I-Project Information'!D171</f>
        <v>Housing Authority of the City of Roswell</v>
      </c>
      <c r="E195" s="1863"/>
      <c r="F195" s="1863"/>
      <c r="G195" s="1863"/>
      <c r="H195" s="1863"/>
      <c r="I195" s="1858" t="s">
        <v>3927</v>
      </c>
      <c r="N195" s="1878">
        <f>'Part I-Project Information'!N171</f>
        <v>7709936226</v>
      </c>
      <c r="O195" s="1878"/>
      <c r="P195" s="1878"/>
      <c r="Z195" s="1857">
        <v>171</v>
      </c>
    </row>
    <row r="196" spans="1:26" s="1856" customFormat="1" ht="12.6" customHeight="1">
      <c r="A196" s="1857"/>
      <c r="B196" s="1857"/>
      <c r="C196" s="1858" t="s">
        <v>3928</v>
      </c>
      <c r="D196" s="1863" t="str">
        <f>'Part I-Project Information'!D172</f>
        <v>199 Grove Way</v>
      </c>
      <c r="E196" s="1863"/>
      <c r="F196" s="1863"/>
      <c r="G196" s="1863"/>
      <c r="H196" s="1863"/>
      <c r="I196" s="1856" t="s">
        <v>1716</v>
      </c>
      <c r="J196" s="1878" t="str">
        <f>'Part I-Project Information'!J172</f>
        <v>Beth Brown</v>
      </c>
      <c r="K196" s="1878"/>
      <c r="L196" s="1878"/>
      <c r="M196" s="1856" t="s">
        <v>1890</v>
      </c>
      <c r="N196" s="1863" t="str">
        <f>'Part I-Project Information'!N172</f>
        <v>Executive Director</v>
      </c>
      <c r="O196" s="1863"/>
      <c r="P196" s="1863"/>
      <c r="Z196" s="1857">
        <v>172</v>
      </c>
    </row>
    <row r="197" spans="1:26" s="1856" customFormat="1" ht="12.6" customHeight="1">
      <c r="A197" s="1857"/>
      <c r="B197" s="1857"/>
      <c r="C197" s="1858" t="s">
        <v>588</v>
      </c>
      <c r="D197" s="1863" t="str">
        <f>'Part I-Project Information'!D173</f>
        <v>Roswell</v>
      </c>
      <c r="E197" s="1863"/>
      <c r="F197" s="1856" t="s">
        <v>2128</v>
      </c>
      <c r="G197" s="1877">
        <f>'Part I-Project Information'!G173</f>
        <v>300756500</v>
      </c>
      <c r="H197" s="1877"/>
      <c r="I197" s="1858" t="s">
        <v>1719</v>
      </c>
      <c r="J197" s="1878">
        <f>'Part I-Project Information'!J173</f>
        <v>7705361294</v>
      </c>
      <c r="K197" s="1878"/>
      <c r="L197" s="1878"/>
      <c r="M197" s="1856" t="s">
        <v>1889</v>
      </c>
      <c r="N197" s="1878">
        <f>'Part I-Project Information'!N173</f>
        <v>4044317189</v>
      </c>
      <c r="O197" s="1878"/>
      <c r="P197" s="1878"/>
      <c r="Z197" s="1857">
        <v>173</v>
      </c>
    </row>
    <row r="198" spans="1:26" s="1856" customFormat="1" ht="12.6" customHeight="1">
      <c r="A198" s="1857"/>
      <c r="B198" s="1857"/>
      <c r="C198" s="1856" t="s">
        <v>2553</v>
      </c>
      <c r="D198" s="1863" t="str">
        <f>'Part I-Project Information'!D174</f>
        <v>http://www.roswellhousing.org/</v>
      </c>
      <c r="E198" s="1863"/>
      <c r="F198" s="1863"/>
      <c r="G198" s="1863"/>
      <c r="H198" s="1863"/>
      <c r="I198" s="1858" t="s">
        <v>1718</v>
      </c>
      <c r="J198" s="1872" t="str">
        <f>'Part I-Project Information'!J174</f>
        <v>bbrown@gainesvillehousing.org</v>
      </c>
      <c r="K198" s="1872"/>
      <c r="L198" s="1872"/>
      <c r="M198" s="1872"/>
      <c r="N198" s="1872"/>
      <c r="O198" s="1872"/>
      <c r="P198" s="1872"/>
      <c r="Z198" s="1857">
        <v>174</v>
      </c>
    </row>
    <row r="199" spans="1:26" s="1856" customFormat="1" ht="12" customHeight="1">
      <c r="A199" s="1857"/>
      <c r="B199" s="1857"/>
      <c r="C199" s="1856" t="s">
        <v>3963</v>
      </c>
      <c r="E199" s="1922"/>
      <c r="F199" s="1922"/>
      <c r="G199" s="1922"/>
      <c r="H199" s="1857"/>
      <c r="I199" s="1918" t="str">
        <f>'Part I-Project Information'!I175</f>
        <v>Yes</v>
      </c>
      <c r="J199" s="1865" t="s">
        <v>731</v>
      </c>
      <c r="K199" s="1865"/>
      <c r="L199" s="1918">
        <f>'Part I-Project Information'!L175</f>
        <v>2035</v>
      </c>
      <c r="M199" s="1922"/>
      <c r="N199" s="1857"/>
      <c r="O199" s="1922"/>
      <c r="P199" s="1922"/>
      <c r="Z199" s="1857">
        <v>175</v>
      </c>
    </row>
    <row r="200" spans="1:26" s="1856" customFormat="1" ht="12" customHeight="1">
      <c r="A200" s="1857"/>
      <c r="B200" s="1857"/>
      <c r="C200" s="1907" t="s">
        <v>6522</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t="str">
        <f>'Part I-Project Information'!L177</f>
        <v>No</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t="str">
        <f>'Part I-Project Information'!I179</f>
        <v>No</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No</v>
      </c>
      <c r="J204" s="1856" t="s">
        <v>731</v>
      </c>
      <c r="L204" s="1918">
        <f>'Part I-Project Information'!L180</f>
        <v>0</v>
      </c>
      <c r="M204" s="1856" t="s">
        <v>2222</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6797</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6487</v>
      </c>
      <c r="E209" s="1865"/>
      <c r="F209" s="1925"/>
      <c r="G209" s="1925"/>
      <c r="H209" s="1925"/>
      <c r="I209" s="1926"/>
      <c r="J209" s="1926"/>
      <c r="K209" s="1926"/>
      <c r="L209" s="1918" t="str">
        <f>'Part I-Project Information'!L185</f>
        <v>Yes</v>
      </c>
      <c r="M209" s="1874" t="s">
        <v>6488</v>
      </c>
      <c r="N209" s="1925"/>
      <c r="O209" s="1928">
        <f>'Part I-Project Information'!O185</f>
        <v>44181</v>
      </c>
      <c r="P209" s="1928"/>
      <c r="Z209" s="1857">
        <v>185</v>
      </c>
    </row>
    <row r="210" spans="1:26" ht="12" customHeight="1">
      <c r="B210" s="1865"/>
      <c r="C210" s="1927" t="s">
        <v>1898</v>
      </c>
      <c r="D210" s="1874" t="s">
        <v>6616</v>
      </c>
      <c r="E210" s="1865"/>
      <c r="F210" s="1925"/>
      <c r="G210" s="1925"/>
      <c r="H210" s="1925"/>
      <c r="I210" s="1926"/>
      <c r="J210" s="1926"/>
      <c r="K210" s="1926"/>
      <c r="L210" s="1918">
        <f>'Part I-Project Information'!L186</f>
        <v>0</v>
      </c>
      <c r="M210" s="1874" t="s">
        <v>6488</v>
      </c>
      <c r="N210" s="1925"/>
      <c r="O210" s="1928">
        <f>'Part I-Project Information'!O186</f>
        <v>0</v>
      </c>
      <c r="P210" s="1928"/>
      <c r="Z210" s="1857">
        <v>186</v>
      </c>
    </row>
    <row r="211" spans="1:26" ht="12" customHeight="1">
      <c r="B211" s="1865"/>
      <c r="C211" s="1927" t="s">
        <v>2416</v>
      </c>
      <c r="D211" s="1874" t="s">
        <v>6489</v>
      </c>
      <c r="E211" s="1865"/>
      <c r="F211" s="1925"/>
      <c r="G211" s="1925"/>
      <c r="H211" s="1925"/>
      <c r="I211" s="1926"/>
      <c r="J211" s="1926"/>
      <c r="K211" s="1926"/>
      <c r="L211" s="1918" t="str">
        <f>'Part I-Project Information'!L187</f>
        <v>Yes</v>
      </c>
      <c r="M211" s="1874" t="s">
        <v>6488</v>
      </c>
      <c r="N211" s="1925"/>
      <c r="O211" s="1928">
        <f>'Part I-Project Information'!O187</f>
        <v>44337</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6800</v>
      </c>
      <c r="D213" s="1925"/>
      <c r="E213" s="1925"/>
      <c r="F213" s="1925"/>
      <c r="G213" s="1925"/>
      <c r="H213" s="1931">
        <f>'Part I-Project Information'!H189</f>
        <v>44181</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6788</v>
      </c>
      <c r="D215" s="1936"/>
      <c r="E215" s="1936"/>
      <c r="F215" s="1936"/>
      <c r="G215" s="1865"/>
      <c r="H215" s="1874" t="s">
        <v>6802</v>
      </c>
      <c r="I215" s="1874"/>
      <c r="J215" s="1874" t="s">
        <v>6787</v>
      </c>
      <c r="K215" s="1874"/>
      <c r="L215" s="1874" t="s">
        <v>6786</v>
      </c>
      <c r="M215" s="1874"/>
      <c r="N215" s="1874"/>
      <c r="O215" s="1874"/>
      <c r="P215" s="1874"/>
      <c r="Z215" s="1857">
        <v>191</v>
      </c>
    </row>
    <row r="216" spans="1:26">
      <c r="A216" s="1934"/>
      <c r="B216" s="1937"/>
      <c r="C216" s="1936" t="s">
        <v>6798</v>
      </c>
      <c r="D216" s="1936"/>
      <c r="E216" s="1936"/>
      <c r="F216" s="1938" t="s">
        <v>6780</v>
      </c>
      <c r="G216" s="1938" t="s">
        <v>6781</v>
      </c>
      <c r="H216" s="1939">
        <f>'Part I-Project Information'!H192</f>
        <v>44181</v>
      </c>
      <c r="I216" s="1940" t="s">
        <v>6782</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6783</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6784</v>
      </c>
      <c r="D218" s="1937"/>
      <c r="E218" s="1856"/>
      <c r="F218" s="1923">
        <f>'Part I-Project Information'!F194</f>
        <v>6</v>
      </c>
      <c r="G218" s="1923">
        <f>'Part I-Project Information'!G194</f>
        <v>28</v>
      </c>
      <c r="H218" s="1941">
        <f>'Part I-Project Information'!H194</f>
        <v>0</v>
      </c>
      <c r="I218" s="1941">
        <f>'Part I-Project Information'!I194</f>
        <v>1</v>
      </c>
      <c r="J218" s="1928">
        <f>'Part I-Project Information'!J194</f>
        <v>44891</v>
      </c>
      <c r="K218" s="1928"/>
      <c r="L218" s="1942" t="str">
        <f>'Part I-Project Information'!L194</f>
        <v>Multifamily Residential Family tenants utilizing HUD's RAD PBRA program</v>
      </c>
      <c r="M218" s="1942"/>
      <c r="N218" s="1942"/>
      <c r="O218" s="1942"/>
      <c r="P218" s="1942"/>
      <c r="R218" s="1865"/>
      <c r="S218" s="1865"/>
      <c r="T218" s="1865"/>
      <c r="U218" s="1865"/>
      <c r="V218" s="1865"/>
      <c r="Z218" s="1857">
        <v>194</v>
      </c>
    </row>
    <row r="219" spans="1:26" ht="12" customHeight="1">
      <c r="A219" s="1935"/>
      <c r="B219" s="1865"/>
      <c r="C219" s="1937" t="s">
        <v>6490</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6785</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6801</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Originally constructed in 1953 Roswell Housing Authority had been operating the existing 95 units as public housing until the units underwent a RAD conversion in 2015. The development plan calls for temporary off-site relocation and demolition of up to 28 households (current relocation plan estimates 21) of the existing 95 units to allow for new construction of 95 units. Once complete all existing 95 households will be relocated to the newly constructed 95 units</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No</v>
      </c>
      <c r="Z228" s="1857">
        <v>204</v>
      </c>
    </row>
    <row r="229" spans="1:26" s="1856" customFormat="1" ht="12.6" customHeight="1">
      <c r="A229" s="1857"/>
      <c r="B229" s="1857"/>
      <c r="C229" s="1856" t="s">
        <v>2112</v>
      </c>
      <c r="I229" s="1918" t="str">
        <f>'Part I-Project Information'!I205</f>
        <v>No</v>
      </c>
      <c r="L229" s="1856" t="s">
        <v>6544</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4125</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6399</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45350</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 xml:space="preserve">Section XI. A, ,B, C &amp; D - Roswell Redevelopment Phase I is being submitted as a capacity building Application with the Housing Authority of the City of Roswell (RHA).  RHA is a non-fully qualified/experienced as a developer/owner for LIHTCs, and is seeking to gain development/ownership experience by partnering with Pennrose.   Pennrose LLC is partnering with RHA to build capacity and gain LIHTC expereince with DCA.  RHA has provided affordable housing in the City of Roswell at Pelfrey Pines (existing 95 RAD units) for over 50-years.  By partnering with RHA, we are able to build RHA's capacity, both financial and experience.  RHA is the leader for providing affordable housing in the City of Roswell.  This capacity building partnership will enable RHA to continue to not only be a leader in affordable housing but to create additional affordable housing in a area with high barriers of entry.  This Application is submitted by Pennrose, LLC and Hunt PR Holdings LLC as a  3rd Application which involves a partnership with a non-fully qualified entity gaining development/ownership experience.  If selected for funding for this 3rd project, requesting waiver for credit cap per developer.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2021-018 Roswell Redevelopment Phase I, ,  County</v>
      </c>
      <c r="Z247" s="1857">
        <v>2</v>
      </c>
    </row>
    <row r="248" spans="1:26" s="1865" customFormat="1" ht="12" customHeight="1">
      <c r="A248" s="1858" t="s">
        <v>3810</v>
      </c>
      <c r="Z248" s="1857">
        <v>3</v>
      </c>
    </row>
    <row r="249" spans="1:26" s="1856" customFormat="1" ht="13.35" customHeight="1">
      <c r="A249" s="1856" t="s">
        <v>586</v>
      </c>
      <c r="B249" s="1858" t="s">
        <v>1772</v>
      </c>
      <c r="C249" s="1858"/>
      <c r="E249" s="1858"/>
      <c r="F249" s="1858"/>
      <c r="G249" s="1858"/>
      <c r="H249" s="1859" t="s">
        <v>3612</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Oak Street I LLC</v>
      </c>
      <c r="I251" s="1914"/>
      <c r="J251" s="1914"/>
      <c r="K251" s="1914"/>
      <c r="L251" s="1914"/>
      <c r="M251" s="1914"/>
      <c r="N251" s="1914"/>
      <c r="O251" s="1888" t="s">
        <v>1899</v>
      </c>
      <c r="P251" s="1888"/>
      <c r="Q251" s="1863" t="str">
        <f>'Part II-Development Team'!Q6</f>
        <v>Mark H. Dambly</v>
      </c>
      <c r="R251" s="1914"/>
      <c r="S251" s="1914"/>
      <c r="Z251" s="1857">
        <v>6</v>
      </c>
    </row>
    <row r="252" spans="1:26" s="1856" customFormat="1" ht="11.25" customHeight="1">
      <c r="D252" s="1887"/>
      <c r="E252" s="1858" t="s">
        <v>982</v>
      </c>
      <c r="F252" s="1860"/>
      <c r="H252" s="1863" t="str">
        <f>'Part II-Development Team'!H7</f>
        <v>230 Wyoming Avenue</v>
      </c>
      <c r="I252" s="1914"/>
      <c r="J252" s="1914"/>
      <c r="K252" s="1914"/>
      <c r="L252" s="1914"/>
      <c r="M252" s="1914"/>
      <c r="N252" s="1914"/>
      <c r="O252" s="1888" t="s">
        <v>1668</v>
      </c>
      <c r="P252" s="1863"/>
      <c r="Q252" s="1863" t="str">
        <f>'Part II-Development Team'!Q7</f>
        <v>President of Managing Mbr.</v>
      </c>
      <c r="R252" s="1914"/>
      <c r="S252" s="1914"/>
      <c r="Z252" s="1857">
        <v>7</v>
      </c>
    </row>
    <row r="253" spans="1:26" s="1856" customFormat="1" ht="11.25" customHeight="1">
      <c r="D253" s="1887"/>
      <c r="E253" s="1858" t="s">
        <v>588</v>
      </c>
      <c r="H253" s="1863" t="str">
        <f>'Part II-Development Team'!H8</f>
        <v>Kingston</v>
      </c>
      <c r="I253" s="1914"/>
      <c r="J253" s="1914"/>
      <c r="K253" s="1879" t="s">
        <v>732</v>
      </c>
      <c r="L253" s="1863">
        <f>'Part II-Development Team'!L8</f>
        <v>0</v>
      </c>
      <c r="M253" s="1914"/>
      <c r="N253" s="1914"/>
      <c r="O253" s="1888" t="s">
        <v>1644</v>
      </c>
      <c r="P253" s="1863"/>
      <c r="Q253" s="1878">
        <f>'Part II-Development Team'!Q8</f>
        <v>2673868668</v>
      </c>
      <c r="R253" s="1878"/>
      <c r="S253" s="1878"/>
      <c r="Z253" s="1857">
        <v>8</v>
      </c>
    </row>
    <row r="254" spans="1:26" s="1856" customFormat="1" ht="11.25" customHeight="1">
      <c r="D254" s="1887"/>
      <c r="E254" s="1858" t="s">
        <v>1717</v>
      </c>
      <c r="H254" s="1888" t="str">
        <f>'Part II-Development Team'!H9</f>
        <v>PA</v>
      </c>
      <c r="I254" s="1879" t="s">
        <v>2128</v>
      </c>
      <c r="J254" s="1877">
        <f>'Part II-Development Team'!J9</f>
        <v>187043636</v>
      </c>
      <c r="K254" s="1914"/>
      <c r="L254" s="1863" t="s">
        <v>3322</v>
      </c>
      <c r="M254" s="1863" t="str">
        <f>'Part II-Development Team'!M9</f>
        <v>For Profit</v>
      </c>
      <c r="N254" s="1863"/>
      <c r="O254" s="1888" t="s">
        <v>1889</v>
      </c>
      <c r="P254" s="1863"/>
      <c r="Q254" s="1878">
        <f>'Part II-Development Team'!Q9</f>
        <v>0</v>
      </c>
      <c r="R254" s="1878"/>
      <c r="S254" s="1878"/>
      <c r="Z254" s="1857">
        <v>9</v>
      </c>
    </row>
    <row r="255" spans="1:26" s="1856" customFormat="1" ht="11.25" customHeight="1">
      <c r="D255" s="1887"/>
      <c r="E255" s="1858" t="s">
        <v>3613</v>
      </c>
      <c r="H255" s="1878">
        <f>'Part II-Development Team'!H10</f>
        <v>2673868600</v>
      </c>
      <c r="I255" s="1878"/>
      <c r="J255" s="1918">
        <f>'Part II-Development Team'!J10</f>
        <v>0</v>
      </c>
      <c r="K255" s="1879" t="s">
        <v>1894</v>
      </c>
      <c r="L255" s="1872" t="str">
        <f>'Part II-Development Team'!L10</f>
        <v>mdambly@pennrose.com</v>
      </c>
      <c r="M255" s="1872"/>
      <c r="N255" s="1872"/>
      <c r="O255" s="1872"/>
      <c r="P255" s="1872"/>
      <c r="Q255" s="1872"/>
      <c r="R255" s="1872"/>
      <c r="S255" s="1872"/>
      <c r="Z255" s="1868">
        <v>10</v>
      </c>
    </row>
    <row r="256" spans="1:26" s="1856" customFormat="1" ht="11.25" customHeight="1">
      <c r="D256" s="1887"/>
      <c r="E256" s="1859" t="s">
        <v>3612</v>
      </c>
      <c r="H256" s="1958"/>
      <c r="I256" s="1863"/>
      <c r="J256" s="1863"/>
      <c r="K256" s="1869"/>
      <c r="L256" s="1863"/>
      <c r="M256" s="1863"/>
      <c r="N256" s="1863" t="s">
        <v>6838</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Pennrose Holdings LLC</v>
      </c>
      <c r="I260" s="1914"/>
      <c r="J260" s="1914"/>
      <c r="K260" s="1914"/>
      <c r="L260" s="1914"/>
      <c r="M260" s="1914"/>
      <c r="N260" s="1914"/>
      <c r="O260" s="1888" t="s">
        <v>1899</v>
      </c>
      <c r="P260" s="1888"/>
      <c r="Q260" s="1863" t="str">
        <f>'Part II-Development Team'!Q15</f>
        <v>Mark H. Dambly</v>
      </c>
      <c r="R260" s="1914"/>
      <c r="S260" s="1914"/>
      <c r="Z260" s="1857">
        <v>15</v>
      </c>
    </row>
    <row r="261" spans="2:26" s="1856" customFormat="1" ht="11.25" customHeight="1">
      <c r="D261" s="1887"/>
      <c r="E261" s="1858" t="s">
        <v>982</v>
      </c>
      <c r="F261" s="1860"/>
      <c r="H261" s="1863" t="str">
        <f>'Part II-Development Team'!H16</f>
        <v>230 Wyoming Avenue</v>
      </c>
      <c r="I261" s="1914"/>
      <c r="J261" s="1914"/>
      <c r="K261" s="1914"/>
      <c r="L261" s="1914"/>
      <c r="M261" s="1914"/>
      <c r="N261" s="1914"/>
      <c r="O261" s="1888" t="s">
        <v>1668</v>
      </c>
      <c r="P261" s="1863"/>
      <c r="Q261" s="1863" t="str">
        <f>'Part II-Development Team'!Q16</f>
        <v>President of Managing Mbr.</v>
      </c>
      <c r="R261" s="1914"/>
      <c r="S261" s="1914"/>
      <c r="Z261" s="1857">
        <v>16</v>
      </c>
    </row>
    <row r="262" spans="2:26" s="1856" customFormat="1" ht="11.25" customHeight="1">
      <c r="D262" s="1887"/>
      <c r="E262" s="1858" t="s">
        <v>588</v>
      </c>
      <c r="H262" s="1863" t="str">
        <f>'Part II-Development Team'!H17</f>
        <v>Kingston</v>
      </c>
      <c r="I262" s="1914"/>
      <c r="J262" s="1914"/>
      <c r="K262" s="1879" t="s">
        <v>2553</v>
      </c>
      <c r="L262" s="1863" t="str">
        <f>'Part II-Development Team'!L17</f>
        <v>https://www.pennrose.com/</v>
      </c>
      <c r="M262" s="1914"/>
      <c r="N262" s="1914"/>
      <c r="O262" s="1888" t="s">
        <v>1644</v>
      </c>
      <c r="P262" s="1863"/>
      <c r="Q262" s="1878">
        <f>'Part II-Development Team'!Q17</f>
        <v>2673868668</v>
      </c>
      <c r="R262" s="1878"/>
      <c r="S262" s="1878"/>
      <c r="Z262" s="1857">
        <v>17</v>
      </c>
    </row>
    <row r="263" spans="2:26" s="1856" customFormat="1" ht="11.25" customHeight="1">
      <c r="E263" s="1858" t="s">
        <v>1717</v>
      </c>
      <c r="H263" s="1888" t="str">
        <f>'Part II-Development Team'!H18</f>
        <v>PA</v>
      </c>
      <c r="I263" s="1863"/>
      <c r="J263" s="1863"/>
      <c r="K263" s="1879" t="s">
        <v>2128</v>
      </c>
      <c r="L263" s="1877">
        <f>'Part II-Development Team'!L18</f>
        <v>187043636</v>
      </c>
      <c r="M263" s="1914"/>
      <c r="N263" s="1863"/>
      <c r="O263" s="1888" t="s">
        <v>1889</v>
      </c>
      <c r="P263" s="1863"/>
      <c r="Q263" s="1878">
        <f>'Part II-Development Team'!Q18</f>
        <v>0</v>
      </c>
      <c r="R263" s="1878"/>
      <c r="S263" s="1878"/>
      <c r="Z263" s="1857">
        <v>18</v>
      </c>
    </row>
    <row r="264" spans="2:26" s="1856" customFormat="1" ht="11.25" customHeight="1">
      <c r="D264" s="1887"/>
      <c r="E264" s="1858" t="s">
        <v>3613</v>
      </c>
      <c r="H264" s="1878">
        <f>'Part II-Development Team'!H19</f>
        <v>2673868600</v>
      </c>
      <c r="I264" s="1878"/>
      <c r="J264" s="1918">
        <f>'Part II-Development Team'!J19</f>
        <v>0</v>
      </c>
      <c r="K264" s="1879" t="s">
        <v>1894</v>
      </c>
      <c r="L264" s="1872" t="str">
        <f>'Part II-Development Team'!L19</f>
        <v>mdambly@pennrose.com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t="str">
        <f>'Part II-Development Team'!H21</f>
        <v>Housing Authority of the City of Roswell</v>
      </c>
      <c r="I266" s="1914"/>
      <c r="J266" s="1914"/>
      <c r="K266" s="1914"/>
      <c r="L266" s="1914"/>
      <c r="M266" s="1914"/>
      <c r="N266" s="1914"/>
      <c r="O266" s="1888" t="s">
        <v>1899</v>
      </c>
      <c r="P266" s="1888"/>
      <c r="Q266" s="1863" t="str">
        <f>'Part II-Development Team'!Q21</f>
        <v>Beth Brown</v>
      </c>
      <c r="R266" s="1914"/>
      <c r="S266" s="1914"/>
      <c r="Z266" s="1857">
        <v>21</v>
      </c>
    </row>
    <row r="267" spans="2:26" s="1856" customFormat="1" ht="11.25" customHeight="1">
      <c r="D267" s="1887"/>
      <c r="E267" s="1858" t="s">
        <v>982</v>
      </c>
      <c r="F267" s="1860"/>
      <c r="H267" s="1863" t="str">
        <f>'Part II-Development Team'!H22</f>
        <v>199 Grove Way</v>
      </c>
      <c r="I267" s="1914"/>
      <c r="J267" s="1914"/>
      <c r="K267" s="1914"/>
      <c r="L267" s="1914"/>
      <c r="M267" s="1914"/>
      <c r="N267" s="1914"/>
      <c r="O267" s="1888" t="s">
        <v>1668</v>
      </c>
      <c r="P267" s="1863"/>
      <c r="Q267" s="1863" t="str">
        <f>'Part II-Development Team'!Q22</f>
        <v>Executive Director</v>
      </c>
      <c r="R267" s="1914"/>
      <c r="S267" s="1914"/>
      <c r="Z267" s="1857">
        <v>22</v>
      </c>
    </row>
    <row r="268" spans="2:26" s="1856" customFormat="1" ht="11.25" customHeight="1">
      <c r="D268" s="1887"/>
      <c r="E268" s="1858" t="s">
        <v>588</v>
      </c>
      <c r="H268" s="1863" t="str">
        <f>'Part II-Development Team'!H23</f>
        <v>Roswell</v>
      </c>
      <c r="I268" s="1914"/>
      <c r="J268" s="1914"/>
      <c r="K268" s="1879" t="s">
        <v>2553</v>
      </c>
      <c r="L268" s="1863" t="str">
        <f>'Part II-Development Team'!L23</f>
        <v>http://www.roswellhousing.org/</v>
      </c>
      <c r="M268" s="1914"/>
      <c r="N268" s="1914"/>
      <c r="O268" s="1888" t="s">
        <v>1644</v>
      </c>
      <c r="P268" s="1863"/>
      <c r="Q268" s="1878">
        <f>'Part II-Development Team'!Q23</f>
        <v>7709936226</v>
      </c>
      <c r="R268" s="1878"/>
      <c r="S268" s="1878"/>
      <c r="Z268" s="1857">
        <v>23</v>
      </c>
    </row>
    <row r="269" spans="2:26" s="1856" customFormat="1" ht="11.25" customHeight="1">
      <c r="E269" s="1858" t="s">
        <v>1717</v>
      </c>
      <c r="H269" s="1888" t="str">
        <f>'Part II-Development Team'!H24</f>
        <v>GA</v>
      </c>
      <c r="I269" s="1863"/>
      <c r="J269" s="1863"/>
      <c r="K269" s="1879" t="s">
        <v>2128</v>
      </c>
      <c r="L269" s="1877">
        <f>'Part II-Development Team'!L24</f>
        <v>300756500</v>
      </c>
      <c r="M269" s="1914"/>
      <c r="N269" s="1863"/>
      <c r="O269" s="1888" t="s">
        <v>1889</v>
      </c>
      <c r="P269" s="1863"/>
      <c r="Q269" s="1878">
        <f>'Part II-Development Team'!Q24</f>
        <v>4044317189</v>
      </c>
      <c r="R269" s="1878"/>
      <c r="S269" s="1878"/>
      <c r="Z269" s="1857">
        <v>24</v>
      </c>
    </row>
    <row r="270" spans="2:26" s="1856" customFormat="1" ht="11.25" customHeight="1">
      <c r="D270" s="1887"/>
      <c r="E270" s="1858" t="s">
        <v>3613</v>
      </c>
      <c r="H270" s="1878">
        <f>'Part II-Development Team'!H25</f>
        <v>7705361294</v>
      </c>
      <c r="I270" s="1878"/>
      <c r="J270" s="1918">
        <f>'Part II-Development Team'!J25</f>
        <v>0</v>
      </c>
      <c r="K270" s="1879" t="s">
        <v>1894</v>
      </c>
      <c r="L270" s="1872" t="str">
        <f>'Part II-Development Team'!L25</f>
        <v>bbrown@gainesvillehousing.org</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3613</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3612</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Hudson Housing Capital LLC</v>
      </c>
      <c r="I279" s="1914"/>
      <c r="J279" s="1914"/>
      <c r="K279" s="1914"/>
      <c r="L279" s="1914"/>
      <c r="M279" s="1914"/>
      <c r="N279" s="1914"/>
      <c r="O279" s="1888" t="s">
        <v>1899</v>
      </c>
      <c r="P279" s="1888"/>
      <c r="Q279" s="1863" t="str">
        <f>'Part II-Development Team'!Q34</f>
        <v>Kimmel Cameron</v>
      </c>
      <c r="R279" s="1914"/>
      <c r="S279" s="1914"/>
      <c r="Z279" s="1857">
        <v>34</v>
      </c>
    </row>
    <row r="280" spans="3:26" s="1856" customFormat="1" ht="11.25" customHeight="1">
      <c r="D280" s="1887"/>
      <c r="E280" s="1858" t="s">
        <v>982</v>
      </c>
      <c r="F280" s="1860"/>
      <c r="H280" s="1863" t="str">
        <f>'Part II-Development Team'!H35</f>
        <v>630 Fifth Avenue</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New York</v>
      </c>
      <c r="I281" s="1914"/>
      <c r="J281" s="1914"/>
      <c r="K281" s="1879" t="s">
        <v>2553</v>
      </c>
      <c r="L281" s="1863" t="str">
        <f>'Part II-Development Team'!L36</f>
        <v>https://www.hudsonhousing.com/</v>
      </c>
      <c r="M281" s="1914"/>
      <c r="N281" s="1914"/>
      <c r="O281" s="1888" t="s">
        <v>1644</v>
      </c>
      <c r="P281" s="1863"/>
      <c r="Q281" s="1878">
        <f>'Part II-Development Team'!Q36</f>
        <v>2122184448</v>
      </c>
      <c r="R281" s="1878"/>
      <c r="S281" s="1878"/>
      <c r="Z281" s="1857">
        <v>36</v>
      </c>
    </row>
    <row r="282" spans="3:26" s="1856" customFormat="1" ht="11.25" customHeight="1">
      <c r="E282" s="1858" t="s">
        <v>1717</v>
      </c>
      <c r="H282" s="1888" t="str">
        <f>'Part II-Development Team'!H37</f>
        <v>NY</v>
      </c>
      <c r="I282" s="1863"/>
      <c r="J282" s="1863"/>
      <c r="K282" s="1879" t="s">
        <v>2128</v>
      </c>
      <c r="L282" s="1877">
        <f>'Part II-Development Team'!L37</f>
        <v>101112901</v>
      </c>
      <c r="M282" s="1914"/>
      <c r="N282" s="1863"/>
      <c r="O282" s="1888" t="s">
        <v>1889</v>
      </c>
      <c r="P282" s="1863"/>
      <c r="Q282" s="1878">
        <f>'Part II-Development Team'!Q37</f>
        <v>9176178645</v>
      </c>
      <c r="R282" s="1878"/>
      <c r="S282" s="1878"/>
      <c r="Z282" s="1857">
        <v>37</v>
      </c>
    </row>
    <row r="283" spans="3:26" s="1856" customFormat="1" ht="11.25" customHeight="1">
      <c r="D283" s="1887"/>
      <c r="E283" s="1858" t="s">
        <v>3613</v>
      </c>
      <c r="H283" s="1878">
        <f>'Part II-Development Team'!H38</f>
        <v>2122184448</v>
      </c>
      <c r="I283" s="1878"/>
      <c r="J283" s="1918">
        <f>'Part II-Development Team'!J38</f>
        <v>0</v>
      </c>
      <c r="K283" s="1879" t="s">
        <v>1894</v>
      </c>
      <c r="L283" s="1872" t="str">
        <f>'Part II-Development Team'!L38</f>
        <v>kimmel.cameron@hudsonhousing.com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Hudson Housing Capital LLC</v>
      </c>
      <c r="I285" s="1914"/>
      <c r="J285" s="1914"/>
      <c r="K285" s="1914"/>
      <c r="L285" s="1914"/>
      <c r="M285" s="1914"/>
      <c r="N285" s="1914"/>
      <c r="O285" s="1888" t="s">
        <v>1899</v>
      </c>
      <c r="P285" s="1888"/>
      <c r="Q285" s="1863" t="str">
        <f>'Part II-Development Team'!Q40</f>
        <v>Kimmel Cameron</v>
      </c>
      <c r="R285" s="1914"/>
      <c r="S285" s="1914"/>
      <c r="Z285" s="1857">
        <v>40</v>
      </c>
    </row>
    <row r="286" spans="3:26" s="1856" customFormat="1" ht="11.25" customHeight="1">
      <c r="D286" s="1887"/>
      <c r="E286" s="1858" t="s">
        <v>982</v>
      </c>
      <c r="F286" s="1860"/>
      <c r="H286" s="1863" t="str">
        <f>'Part II-Development Team'!H41</f>
        <v>630 Fifth Avenue</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New York</v>
      </c>
      <c r="I287" s="1914"/>
      <c r="J287" s="1914"/>
      <c r="K287" s="1879" t="s">
        <v>2553</v>
      </c>
      <c r="L287" s="1863" t="str">
        <f>'Part II-Development Team'!L42</f>
        <v>https://www.hudsonhousing.com/</v>
      </c>
      <c r="M287" s="1914"/>
      <c r="N287" s="1914"/>
      <c r="O287" s="1888" t="s">
        <v>1644</v>
      </c>
      <c r="P287" s="1863"/>
      <c r="Q287" s="1878">
        <f>'Part II-Development Team'!Q42</f>
        <v>2122184448</v>
      </c>
      <c r="R287" s="1878"/>
      <c r="S287" s="1878"/>
      <c r="Z287" s="1857">
        <v>42</v>
      </c>
    </row>
    <row r="288" spans="3:26" s="1856" customFormat="1" ht="11.25" customHeight="1">
      <c r="E288" s="1858" t="s">
        <v>1717</v>
      </c>
      <c r="H288" s="1888" t="str">
        <f>'Part II-Development Team'!H43</f>
        <v>NY</v>
      </c>
      <c r="I288" s="1863"/>
      <c r="J288" s="1863"/>
      <c r="K288" s="1879" t="s">
        <v>2128</v>
      </c>
      <c r="L288" s="1877">
        <f>'Part II-Development Team'!L43</f>
        <v>101112901</v>
      </c>
      <c r="M288" s="1914"/>
      <c r="N288" s="1863"/>
      <c r="O288" s="1888" t="s">
        <v>1889</v>
      </c>
      <c r="P288" s="1863"/>
      <c r="Q288" s="1878">
        <f>'Part II-Development Team'!Q43</f>
        <v>9176178645</v>
      </c>
      <c r="R288" s="1878"/>
      <c r="S288" s="1878"/>
      <c r="Z288" s="1857">
        <v>43</v>
      </c>
    </row>
    <row r="289" spans="1:26" s="1856" customFormat="1" ht="11.25" customHeight="1">
      <c r="D289" s="1887"/>
      <c r="E289" s="1858" t="s">
        <v>3613</v>
      </c>
      <c r="H289" s="1878">
        <f>'Part II-Development Team'!H44</f>
        <v>2122184448</v>
      </c>
      <c r="I289" s="1878"/>
      <c r="J289" s="1918">
        <f>'Part II-Development Team'!J44</f>
        <v>0</v>
      </c>
      <c r="K289" s="1879" t="s">
        <v>1894</v>
      </c>
      <c r="L289" s="1872" t="str">
        <f>'Part II-Development Team'!L44</f>
        <v>kimmel.cameron@hudsonhousing.com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3612</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3613</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3612</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Pennrose LLC</v>
      </c>
      <c r="I300" s="1914"/>
      <c r="J300" s="1914"/>
      <c r="K300" s="1914"/>
      <c r="L300" s="1914"/>
      <c r="M300" s="1914"/>
      <c r="N300" s="1914"/>
      <c r="O300" s="1888" t="s">
        <v>1899</v>
      </c>
      <c r="P300" s="1888"/>
      <c r="Q300" s="1863" t="str">
        <f>'Part II-Development Team'!Q55</f>
        <v>Mark H. Dambly</v>
      </c>
      <c r="R300" s="1914"/>
      <c r="S300" s="1914"/>
      <c r="Z300" s="1857">
        <v>55</v>
      </c>
    </row>
    <row r="301" spans="1:26" s="1856" customFormat="1" ht="11.25" customHeight="1">
      <c r="D301" s="1887"/>
      <c r="E301" s="1858" t="s">
        <v>982</v>
      </c>
      <c r="F301" s="1860"/>
      <c r="H301" s="1863" t="str">
        <f>'Part II-Development Team'!H56</f>
        <v>1301 N 31st Street</v>
      </c>
      <c r="I301" s="1914"/>
      <c r="J301" s="1914"/>
      <c r="K301" s="1914"/>
      <c r="L301" s="1914"/>
      <c r="M301" s="1914"/>
      <c r="N301" s="1914"/>
      <c r="O301" s="1888" t="s">
        <v>1668</v>
      </c>
      <c r="P301" s="1863"/>
      <c r="Q301" s="1863" t="str">
        <f>'Part II-Development Team'!Q56</f>
        <v>President</v>
      </c>
      <c r="R301" s="1914"/>
      <c r="S301" s="1914"/>
      <c r="Z301" s="1857">
        <v>56</v>
      </c>
    </row>
    <row r="302" spans="1:26" s="1856" customFormat="1" ht="11.25" customHeight="1">
      <c r="D302" s="1887"/>
      <c r="E302" s="1858" t="s">
        <v>588</v>
      </c>
      <c r="H302" s="1863" t="str">
        <f>'Part II-Development Team'!H57</f>
        <v>Philadelphia</v>
      </c>
      <c r="I302" s="1914"/>
      <c r="J302" s="1914"/>
      <c r="K302" s="1879" t="s">
        <v>2553</v>
      </c>
      <c r="L302" s="1863" t="str">
        <f>'Part II-Development Team'!L57</f>
        <v>https://www.pennrose.com/</v>
      </c>
      <c r="M302" s="1914"/>
      <c r="N302" s="1914"/>
      <c r="O302" s="1888" t="s">
        <v>1644</v>
      </c>
      <c r="P302" s="1863"/>
      <c r="Q302" s="1878">
        <f>'Part II-Development Team'!Q57</f>
        <v>2673868668</v>
      </c>
      <c r="R302" s="1878"/>
      <c r="S302" s="1878"/>
      <c r="Z302" s="1857">
        <v>57</v>
      </c>
    </row>
    <row r="303" spans="1:26" s="1856" customFormat="1" ht="11.25" customHeight="1">
      <c r="E303" s="1858" t="s">
        <v>1717</v>
      </c>
      <c r="H303" s="1888" t="str">
        <f>'Part II-Development Team'!H58</f>
        <v>PA</v>
      </c>
      <c r="I303" s="1863"/>
      <c r="J303" s="1863"/>
      <c r="K303" s="1879" t="s">
        <v>2128</v>
      </c>
      <c r="L303" s="1877">
        <f>'Part II-Development Team'!L58</f>
        <v>191214495</v>
      </c>
      <c r="M303" s="1914"/>
      <c r="N303" s="1863"/>
      <c r="O303" s="1888" t="s">
        <v>1889</v>
      </c>
      <c r="P303" s="1863"/>
      <c r="Q303" s="1878">
        <f>'Part II-Development Team'!Q58</f>
        <v>0</v>
      </c>
      <c r="R303" s="1878"/>
      <c r="S303" s="1878"/>
      <c r="Z303" s="1857">
        <v>58</v>
      </c>
    </row>
    <row r="304" spans="1:26" s="1856" customFormat="1" ht="11.25" customHeight="1">
      <c r="D304" s="1887"/>
      <c r="E304" s="1858" t="s">
        <v>3613</v>
      </c>
      <c r="H304" s="1878">
        <f>'Part II-Development Team'!H59</f>
        <v>2673868600</v>
      </c>
      <c r="I304" s="1878"/>
      <c r="J304" s="1918">
        <f>'Part II-Development Team'!J59</f>
        <v>0</v>
      </c>
      <c r="K304" s="1879" t="s">
        <v>1894</v>
      </c>
      <c r="L304" s="1872" t="str">
        <f>'Part II-Development Team'!L59</f>
        <v>mdambly@pennrose.com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t="str">
        <f>'Part II-Development Team'!H61</f>
        <v>Housing Authority of the City of Roswell</v>
      </c>
      <c r="I306" s="1914"/>
      <c r="J306" s="1914"/>
      <c r="K306" s="1914"/>
      <c r="L306" s="1914"/>
      <c r="M306" s="1914"/>
      <c r="N306" s="1914"/>
      <c r="O306" s="1888" t="s">
        <v>1899</v>
      </c>
      <c r="P306" s="1888"/>
      <c r="Q306" s="1863" t="str">
        <f>'Part II-Development Team'!Q61</f>
        <v>Beth Brown</v>
      </c>
      <c r="R306" s="1914"/>
      <c r="S306" s="1914"/>
      <c r="Z306" s="1857">
        <v>61</v>
      </c>
    </row>
    <row r="307" spans="2:26" s="1856" customFormat="1" ht="11.25" customHeight="1">
      <c r="D307" s="1887"/>
      <c r="E307" s="1858" t="s">
        <v>982</v>
      </c>
      <c r="F307" s="1860"/>
      <c r="H307" s="1863" t="str">
        <f>'Part II-Development Team'!H62</f>
        <v>199 Grove Way</v>
      </c>
      <c r="I307" s="1914"/>
      <c r="J307" s="1914"/>
      <c r="K307" s="1914"/>
      <c r="L307" s="1914"/>
      <c r="M307" s="1914"/>
      <c r="N307" s="1914"/>
      <c r="O307" s="1888" t="s">
        <v>1668</v>
      </c>
      <c r="P307" s="1863"/>
      <c r="Q307" s="1863" t="str">
        <f>'Part II-Development Team'!Q62</f>
        <v>Executive Director</v>
      </c>
      <c r="R307" s="1914"/>
      <c r="S307" s="1914"/>
      <c r="Z307" s="1868">
        <v>62</v>
      </c>
    </row>
    <row r="308" spans="2:26" s="1856" customFormat="1" ht="11.25" customHeight="1">
      <c r="D308" s="1887"/>
      <c r="E308" s="1858" t="s">
        <v>588</v>
      </c>
      <c r="H308" s="1863" t="str">
        <f>'Part II-Development Team'!H63</f>
        <v>Roswell</v>
      </c>
      <c r="I308" s="1914"/>
      <c r="J308" s="1914"/>
      <c r="K308" s="1879" t="s">
        <v>2553</v>
      </c>
      <c r="L308" s="1863" t="str">
        <f>'Part II-Development Team'!L63</f>
        <v>http://www.roswellhousing.org/</v>
      </c>
      <c r="M308" s="1914"/>
      <c r="N308" s="1914"/>
      <c r="O308" s="1888" t="s">
        <v>1644</v>
      </c>
      <c r="P308" s="1863"/>
      <c r="Q308" s="1878">
        <f>'Part II-Development Team'!Q63</f>
        <v>7709936226</v>
      </c>
      <c r="R308" s="1878"/>
      <c r="S308" s="1878"/>
      <c r="Z308" s="1857">
        <v>63</v>
      </c>
    </row>
    <row r="309" spans="2:26" s="1856" customFormat="1" ht="11.25" customHeight="1">
      <c r="E309" s="1858" t="s">
        <v>1717</v>
      </c>
      <c r="H309" s="1888" t="str">
        <f>'Part II-Development Team'!H64</f>
        <v>GA</v>
      </c>
      <c r="I309" s="1863"/>
      <c r="J309" s="1863"/>
      <c r="K309" s="1879" t="s">
        <v>2128</v>
      </c>
      <c r="L309" s="1877">
        <f>'Part II-Development Team'!L64</f>
        <v>300756500</v>
      </c>
      <c r="M309" s="1914"/>
      <c r="N309" s="1863"/>
      <c r="O309" s="1888" t="s">
        <v>1889</v>
      </c>
      <c r="P309" s="1863"/>
      <c r="Q309" s="1878">
        <f>'Part II-Development Team'!Q64</f>
        <v>4044317189</v>
      </c>
      <c r="R309" s="1878"/>
      <c r="S309" s="1878"/>
      <c r="Z309" s="1857">
        <v>64</v>
      </c>
    </row>
    <row r="310" spans="2:26" s="1856" customFormat="1" ht="11.25" customHeight="1">
      <c r="D310" s="1887"/>
      <c r="E310" s="1858" t="s">
        <v>3613</v>
      </c>
      <c r="H310" s="1878">
        <f>'Part II-Development Team'!H65</f>
        <v>7705361294</v>
      </c>
      <c r="I310" s="1878"/>
      <c r="J310" s="1918">
        <f>'Part II-Development Team'!J65</f>
        <v>0</v>
      </c>
      <c r="K310" s="1879" t="s">
        <v>1894</v>
      </c>
      <c r="L310" s="1872" t="str">
        <f>'Part II-Development Team'!L65</f>
        <v>bbrown@gainesvillehousing.org</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3613</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3613</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3612</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3613</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Capstone Building Corp.</v>
      </c>
      <c r="I332" s="1914"/>
      <c r="J332" s="1914"/>
      <c r="K332" s="1914"/>
      <c r="L332" s="1914"/>
      <c r="M332" s="1914"/>
      <c r="N332" s="1914"/>
      <c r="O332" s="1888" t="s">
        <v>1899</v>
      </c>
      <c r="P332" s="1888"/>
      <c r="Q332" s="1863" t="str">
        <f>'Part II-Development Team'!Q87</f>
        <v>Chris Travis</v>
      </c>
      <c r="R332" s="1914"/>
      <c r="S332" s="1914"/>
      <c r="Z332" s="1868">
        <v>87</v>
      </c>
    </row>
    <row r="333" spans="1:26" s="1856" customFormat="1" ht="11.25" customHeight="1">
      <c r="D333" s="1887"/>
      <c r="E333" s="1858" t="s">
        <v>982</v>
      </c>
      <c r="F333" s="1860"/>
      <c r="H333" s="1863" t="str">
        <f>'Part II-Development Team'!H88</f>
        <v>3415 Independence Drive</v>
      </c>
      <c r="I333" s="1914"/>
      <c r="J333" s="1914"/>
      <c r="K333" s="1914"/>
      <c r="L333" s="1914"/>
      <c r="M333" s="1914"/>
      <c r="N333" s="1914"/>
      <c r="O333" s="1888" t="s">
        <v>1668</v>
      </c>
      <c r="P333" s="1863"/>
      <c r="Q333" s="1863" t="str">
        <f>'Part II-Development Team'!Q88</f>
        <v>Sr. VP Finance</v>
      </c>
      <c r="R333" s="1914"/>
      <c r="S333" s="1914"/>
      <c r="Z333" s="1857">
        <v>88</v>
      </c>
    </row>
    <row r="334" spans="1:26" s="1856" customFormat="1" ht="11.25" customHeight="1">
      <c r="D334" s="1887"/>
      <c r="E334" s="1858" t="s">
        <v>588</v>
      </c>
      <c r="H334" s="1863" t="str">
        <f>'Part II-Development Team'!H89</f>
        <v>Birmingham</v>
      </c>
      <c r="I334" s="1914"/>
      <c r="J334" s="1914"/>
      <c r="K334" s="1879" t="s">
        <v>2553</v>
      </c>
      <c r="L334" s="1863" t="str">
        <f>'Part II-Development Team'!L89</f>
        <v>www.capstonebuilding.com</v>
      </c>
      <c r="M334" s="1914"/>
      <c r="N334" s="1914"/>
      <c r="O334" s="1888" t="s">
        <v>1644</v>
      </c>
      <c r="P334" s="1863"/>
      <c r="Q334" s="1878">
        <f>'Part II-Development Team'!Q89</f>
        <v>2053805671</v>
      </c>
      <c r="R334" s="1878"/>
      <c r="S334" s="1878"/>
      <c r="Z334" s="1857">
        <v>89</v>
      </c>
    </row>
    <row r="335" spans="1:26" s="1856" customFormat="1" ht="11.25" customHeight="1">
      <c r="E335" s="1858" t="s">
        <v>1717</v>
      </c>
      <c r="H335" s="1888" t="str">
        <f>'Part II-Development Team'!H90</f>
        <v>AL</v>
      </c>
      <c r="I335" s="1863"/>
      <c r="J335" s="1863"/>
      <c r="K335" s="1879" t="s">
        <v>2128</v>
      </c>
      <c r="L335" s="1877">
        <f>'Part II-Development Team'!L90</f>
        <v>352098314</v>
      </c>
      <c r="M335" s="1914"/>
      <c r="N335" s="1863"/>
      <c r="O335" s="1888" t="s">
        <v>1889</v>
      </c>
      <c r="P335" s="1863"/>
      <c r="Q335" s="1878">
        <f>'Part II-Development Team'!Q90</f>
        <v>0</v>
      </c>
      <c r="R335" s="1878"/>
      <c r="S335" s="1878"/>
      <c r="Z335" s="1857">
        <v>90</v>
      </c>
    </row>
    <row r="336" spans="1:26" s="1856" customFormat="1" ht="11.25" customHeight="1">
      <c r="D336" s="1887"/>
      <c r="E336" s="1858" t="s">
        <v>3613</v>
      </c>
      <c r="H336" s="1878">
        <f>'Part II-Development Team'!H91</f>
        <v>2053805671</v>
      </c>
      <c r="I336" s="1878"/>
      <c r="J336" s="1918">
        <f>'Part II-Development Team'!J91</f>
        <v>0</v>
      </c>
      <c r="K336" s="1879" t="s">
        <v>1894</v>
      </c>
      <c r="L336" s="1872" t="str">
        <f>'Part II-Development Team'!L91</f>
        <v>ctravis@capstonebuilding.com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Pennrose Management Company</v>
      </c>
      <c r="I338" s="1914"/>
      <c r="J338" s="1914"/>
      <c r="K338" s="1914"/>
      <c r="L338" s="1914"/>
      <c r="M338" s="1914"/>
      <c r="N338" s="1914"/>
      <c r="O338" s="1888" t="s">
        <v>1899</v>
      </c>
      <c r="P338" s="1888"/>
      <c r="Q338" s="1863" t="str">
        <f>'Part II-Development Team'!Q93</f>
        <v>Mark H. Dambly</v>
      </c>
      <c r="R338" s="1914"/>
      <c r="S338" s="1914"/>
      <c r="Z338" s="1868">
        <v>93</v>
      </c>
    </row>
    <row r="339" spans="2:26" s="1856" customFormat="1" ht="11.25" customHeight="1">
      <c r="D339" s="1887"/>
      <c r="E339" s="1858" t="s">
        <v>982</v>
      </c>
      <c r="F339" s="1860"/>
      <c r="H339" s="1863" t="str">
        <f>'Part II-Development Team'!H94</f>
        <v>1301 N 31st Street</v>
      </c>
      <c r="I339" s="1914"/>
      <c r="J339" s="1914"/>
      <c r="K339" s="1914"/>
      <c r="L339" s="1914"/>
      <c r="M339" s="1914"/>
      <c r="N339" s="1914"/>
      <c r="O339" s="1888" t="s">
        <v>1668</v>
      </c>
      <c r="P339" s="1863"/>
      <c r="Q339" s="1863" t="str">
        <f>'Part II-Development Team'!Q94</f>
        <v>President</v>
      </c>
      <c r="R339" s="1914"/>
      <c r="S339" s="1914"/>
      <c r="Z339" s="1857">
        <v>94</v>
      </c>
    </row>
    <row r="340" spans="2:26" s="1856" customFormat="1" ht="11.25" customHeight="1">
      <c r="D340" s="1887"/>
      <c r="E340" s="1858" t="s">
        <v>588</v>
      </c>
      <c r="H340" s="1863" t="str">
        <f>'Part II-Development Team'!H95</f>
        <v>Philadelphia</v>
      </c>
      <c r="I340" s="1914"/>
      <c r="J340" s="1914"/>
      <c r="K340" s="1879" t="s">
        <v>2553</v>
      </c>
      <c r="L340" s="1863" t="str">
        <f>'Part II-Development Team'!L95</f>
        <v>https://www.pennrose.com/</v>
      </c>
      <c r="M340" s="1914"/>
      <c r="N340" s="1914"/>
      <c r="O340" s="1888" t="s">
        <v>1644</v>
      </c>
      <c r="P340" s="1863"/>
      <c r="Q340" s="1878">
        <f>'Part II-Development Team'!Q95</f>
        <v>2673868668</v>
      </c>
      <c r="R340" s="1878"/>
      <c r="S340" s="1878"/>
      <c r="Z340" s="1857">
        <v>95</v>
      </c>
    </row>
    <row r="341" spans="2:26" s="1856" customFormat="1" ht="11.25" customHeight="1">
      <c r="D341" s="1887"/>
      <c r="E341" s="1858" t="s">
        <v>1717</v>
      </c>
      <c r="H341" s="1888" t="str">
        <f>'Part II-Development Team'!H96</f>
        <v>PA</v>
      </c>
      <c r="I341" s="1863"/>
      <c r="J341" s="1863"/>
      <c r="K341" s="1879" t="s">
        <v>2128</v>
      </c>
      <c r="L341" s="1877">
        <f>'Part II-Development Team'!L96</f>
        <v>191214495</v>
      </c>
      <c r="M341" s="1914"/>
      <c r="N341" s="1863"/>
      <c r="O341" s="1888" t="s">
        <v>1889</v>
      </c>
      <c r="P341" s="1863"/>
      <c r="Q341" s="1878">
        <f>'Part II-Development Team'!Q96</f>
        <v>0</v>
      </c>
      <c r="R341" s="1878"/>
      <c r="S341" s="1878"/>
      <c r="Z341" s="1857">
        <v>96</v>
      </c>
    </row>
    <row r="342" spans="2:26" s="1856" customFormat="1" ht="11.25" customHeight="1">
      <c r="D342" s="1887"/>
      <c r="E342" s="1858" t="s">
        <v>3613</v>
      </c>
      <c r="H342" s="1878">
        <f>'Part II-Development Team'!H97</f>
        <v>2673868600</v>
      </c>
      <c r="I342" s="1878"/>
      <c r="J342" s="1918">
        <f>'Part II-Development Team'!J97</f>
        <v>0</v>
      </c>
      <c r="K342" s="1879" t="s">
        <v>1894</v>
      </c>
      <c r="L342" s="1872" t="str">
        <f>'Part II-Development Team'!L97</f>
        <v>mdambly@pennrose.com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Berman Indictor LLP</v>
      </c>
      <c r="I344" s="1914"/>
      <c r="J344" s="1914"/>
      <c r="K344" s="1914"/>
      <c r="L344" s="1914"/>
      <c r="M344" s="1914"/>
      <c r="N344" s="1914"/>
      <c r="O344" s="1888" t="s">
        <v>1899</v>
      </c>
      <c r="P344" s="1888"/>
      <c r="Q344" s="1863" t="str">
        <f>'Part II-Development Team'!Q99</f>
        <v>Steve Berman</v>
      </c>
      <c r="R344" s="1914"/>
      <c r="S344" s="1914"/>
      <c r="Z344" s="1857">
        <v>99</v>
      </c>
    </row>
    <row r="345" spans="2:26" s="1856" customFormat="1" ht="11.25" customHeight="1">
      <c r="D345" s="1887"/>
      <c r="E345" s="1858" t="s">
        <v>982</v>
      </c>
      <c r="F345" s="1860"/>
      <c r="H345" s="1863" t="str">
        <f>'Part II-Development Team'!H100</f>
        <v>30 N 41st Street, Ste 450</v>
      </c>
      <c r="I345" s="1914"/>
      <c r="J345" s="1914"/>
      <c r="K345" s="1914"/>
      <c r="L345" s="1914"/>
      <c r="M345" s="1914"/>
      <c r="N345" s="1914"/>
      <c r="O345" s="1888" t="s">
        <v>1668</v>
      </c>
      <c r="P345" s="1863"/>
      <c r="Q345" s="1863" t="str">
        <f>'Part II-Development Team'!Q100</f>
        <v>Principal</v>
      </c>
      <c r="R345" s="1914"/>
      <c r="S345" s="1914"/>
      <c r="Z345" s="1857">
        <v>100</v>
      </c>
    </row>
    <row r="346" spans="2:26" s="1856" customFormat="1" ht="11.25" customHeight="1">
      <c r="D346" s="1887"/>
      <c r="E346" s="1858" t="s">
        <v>588</v>
      </c>
      <c r="H346" s="1863" t="str">
        <f>'Part II-Development Team'!H101</f>
        <v>Philadelphia</v>
      </c>
      <c r="I346" s="1914"/>
      <c r="J346" s="1914"/>
      <c r="K346" s="1879" t="s">
        <v>2553</v>
      </c>
      <c r="L346" s="1863">
        <f>'Part II-Development Team'!L101</f>
        <v>0</v>
      </c>
      <c r="M346" s="1914"/>
      <c r="N346" s="1914"/>
      <c r="O346" s="1888" t="s">
        <v>1644</v>
      </c>
      <c r="P346" s="1863"/>
      <c r="Q346" s="1878">
        <f>'Part II-Development Team'!Q101</f>
        <v>2158259740</v>
      </c>
      <c r="R346" s="1878"/>
      <c r="S346" s="1878"/>
      <c r="Z346" s="1857">
        <v>101</v>
      </c>
    </row>
    <row r="347" spans="2:26" s="1856" customFormat="1" ht="11.25" customHeight="1">
      <c r="D347" s="1887"/>
      <c r="E347" s="1858" t="s">
        <v>1717</v>
      </c>
      <c r="H347" s="1888" t="str">
        <f>'Part II-Development Team'!H102</f>
        <v>PA</v>
      </c>
      <c r="I347" s="1863"/>
      <c r="J347" s="1863"/>
      <c r="K347" s="1879" t="s">
        <v>2128</v>
      </c>
      <c r="L347" s="1877">
        <f>'Part II-Development Team'!L102</f>
        <v>0</v>
      </c>
      <c r="M347" s="1914"/>
      <c r="N347" s="1863"/>
      <c r="O347" s="1888" t="s">
        <v>1889</v>
      </c>
      <c r="P347" s="1863"/>
      <c r="Q347" s="1878">
        <f>'Part II-Development Team'!Q102</f>
        <v>0</v>
      </c>
      <c r="R347" s="1878"/>
      <c r="S347" s="1878"/>
      <c r="Z347" s="1868">
        <v>102</v>
      </c>
    </row>
    <row r="348" spans="2:26" s="1865" customFormat="1" ht="11.25" customHeight="1">
      <c r="E348" s="1858" t="s">
        <v>3613</v>
      </c>
      <c r="F348" s="1856"/>
      <c r="G348" s="1856"/>
      <c r="H348" s="1878">
        <f>'Part II-Development Team'!H103</f>
        <v>9014357700</v>
      </c>
      <c r="I348" s="1878"/>
      <c r="J348" s="1918">
        <f>'Part II-Development Team'!J103</f>
        <v>0</v>
      </c>
      <c r="K348" s="1879" t="s">
        <v>1894</v>
      </c>
      <c r="L348" s="1872">
        <f>'Part II-Development Team'!L103</f>
        <v>0</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CohnReznick</v>
      </c>
      <c r="I350" s="1914"/>
      <c r="J350" s="1914"/>
      <c r="K350" s="1914"/>
      <c r="L350" s="1914"/>
      <c r="M350" s="1914"/>
      <c r="N350" s="1914"/>
      <c r="O350" s="1888" t="s">
        <v>1899</v>
      </c>
      <c r="P350" s="1888"/>
      <c r="Q350" s="1863" t="str">
        <f>'Part II-Development Team'!Q105</f>
        <v>Michael Cumming</v>
      </c>
      <c r="R350" s="1914"/>
      <c r="S350" s="1914"/>
      <c r="Z350" s="1857">
        <v>105</v>
      </c>
    </row>
    <row r="351" spans="2:26" s="1856" customFormat="1" ht="11.25" customHeight="1">
      <c r="D351" s="1887"/>
      <c r="E351" s="1858" t="s">
        <v>982</v>
      </c>
      <c r="F351" s="1860"/>
      <c r="H351" s="1863" t="str">
        <f>'Part II-Development Team'!H106</f>
        <v>500 East Pratt Street, Ste. 200</v>
      </c>
      <c r="I351" s="1914"/>
      <c r="J351" s="1914"/>
      <c r="K351" s="1914"/>
      <c r="L351" s="1914"/>
      <c r="M351" s="1914"/>
      <c r="N351" s="1914"/>
      <c r="O351" s="1888" t="s">
        <v>1668</v>
      </c>
      <c r="P351" s="1863"/>
      <c r="Q351" s="1863" t="str">
        <f>'Part II-Development Team'!Q106</f>
        <v>Principal</v>
      </c>
      <c r="R351" s="1914"/>
      <c r="S351" s="1914"/>
      <c r="Z351" s="1857">
        <v>106</v>
      </c>
    </row>
    <row r="352" spans="2:26" s="1856" customFormat="1" ht="11.25" customHeight="1">
      <c r="D352" s="1887"/>
      <c r="E352" s="1858" t="s">
        <v>588</v>
      </c>
      <c r="H352" s="1863" t="str">
        <f>'Part II-Development Team'!H107</f>
        <v>Baltimore</v>
      </c>
      <c r="I352" s="1914"/>
      <c r="J352" s="1914"/>
      <c r="K352" s="1879" t="s">
        <v>2553</v>
      </c>
      <c r="L352" s="1863" t="str">
        <f>'Part II-Development Team'!L107</f>
        <v>www.cohnreznick.com</v>
      </c>
      <c r="M352" s="1914"/>
      <c r="N352" s="1914"/>
      <c r="O352" s="1888" t="s">
        <v>1644</v>
      </c>
      <c r="P352" s="1863"/>
      <c r="Q352" s="1878">
        <f>'Part II-Development Team'!Q107</f>
        <v>4103362554</v>
      </c>
      <c r="R352" s="1878"/>
      <c r="S352" s="1878"/>
      <c r="Z352" s="1857">
        <v>107</v>
      </c>
    </row>
    <row r="353" spans="1:26" s="1856" customFormat="1" ht="11.25" customHeight="1">
      <c r="D353" s="1887"/>
      <c r="E353" s="1858" t="s">
        <v>1717</v>
      </c>
      <c r="H353" s="1888" t="str">
        <f>'Part II-Development Team'!H108</f>
        <v>MD</v>
      </c>
      <c r="I353" s="1863"/>
      <c r="J353" s="1863"/>
      <c r="K353" s="1879" t="s">
        <v>2128</v>
      </c>
      <c r="L353" s="1877">
        <f>'Part II-Development Team'!L108</f>
        <v>212023100</v>
      </c>
      <c r="M353" s="1914"/>
      <c r="N353" s="1863"/>
      <c r="O353" s="1888" t="s">
        <v>1889</v>
      </c>
      <c r="P353" s="1863"/>
      <c r="Q353" s="1878">
        <f>'Part II-Development Team'!Q108</f>
        <v>4103362554</v>
      </c>
      <c r="R353" s="1878"/>
      <c r="S353" s="1878"/>
      <c r="Z353" s="1857">
        <v>108</v>
      </c>
    </row>
    <row r="354" spans="1:26" s="1865" customFormat="1" ht="11.25" customHeight="1">
      <c r="E354" s="1858" t="s">
        <v>3613</v>
      </c>
      <c r="F354" s="1856"/>
      <c r="G354" s="1856"/>
      <c r="H354" s="1878">
        <f>'Part II-Development Team'!H109</f>
        <v>4107834900</v>
      </c>
      <c r="I354" s="1878"/>
      <c r="J354" s="1918">
        <f>'Part II-Development Team'!J109</f>
        <v>0</v>
      </c>
      <c r="K354" s="1879" t="s">
        <v>1894</v>
      </c>
      <c r="L354" s="1872" t="str">
        <f>'Part II-Development Team'!L109</f>
        <v>mike.cumming@cohnreznick.com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Kitchen and Associates</v>
      </c>
      <c r="I356" s="1914"/>
      <c r="J356" s="1914"/>
      <c r="K356" s="1914"/>
      <c r="L356" s="1914"/>
      <c r="M356" s="1914"/>
      <c r="N356" s="1914"/>
      <c r="O356" s="1888" t="s">
        <v>1899</v>
      </c>
      <c r="P356" s="1888"/>
      <c r="Q356" s="1863" t="str">
        <f>'Part II-Development Team'!Q111</f>
        <v>Steve Schoch</v>
      </c>
      <c r="R356" s="1914"/>
      <c r="S356" s="1914"/>
      <c r="Z356" s="1868">
        <v>111</v>
      </c>
    </row>
    <row r="357" spans="1:26" s="1856" customFormat="1" ht="11.25" customHeight="1">
      <c r="D357" s="1887"/>
      <c r="E357" s="1858" t="s">
        <v>982</v>
      </c>
      <c r="F357" s="1860"/>
      <c r="H357" s="1863" t="str">
        <f>'Part II-Development Team'!H112</f>
        <v>756 Haddon Avenue</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Collingwood</v>
      </c>
      <c r="I358" s="1914"/>
      <c r="J358" s="1914"/>
      <c r="K358" s="1879" t="s">
        <v>2553</v>
      </c>
      <c r="L358" s="1863" t="str">
        <f>'Part II-Development Team'!L113</f>
        <v>www.kitchenandassociates.com</v>
      </c>
      <c r="M358" s="1914"/>
      <c r="N358" s="1914"/>
      <c r="O358" s="1888" t="s">
        <v>1644</v>
      </c>
      <c r="P358" s="1863"/>
      <c r="Q358" s="1878">
        <f>'Part II-Development Team'!Q113</f>
        <v>8565592063</v>
      </c>
      <c r="R358" s="1878"/>
      <c r="S358" s="1878"/>
      <c r="Z358" s="1857">
        <v>113</v>
      </c>
    </row>
    <row r="359" spans="1:26" s="1856" customFormat="1" ht="11.25" customHeight="1">
      <c r="D359" s="1887"/>
      <c r="E359" s="1858" t="s">
        <v>1717</v>
      </c>
      <c r="H359" s="1888" t="str">
        <f>'Part II-Development Team'!H114</f>
        <v>NJ</v>
      </c>
      <c r="I359" s="1863"/>
      <c r="J359" s="1863"/>
      <c r="K359" s="1879" t="s">
        <v>2128</v>
      </c>
      <c r="L359" s="1877">
        <f>'Part II-Development Team'!L114</f>
        <v>81083712</v>
      </c>
      <c r="M359" s="1914"/>
      <c r="N359" s="1863"/>
      <c r="O359" s="1888" t="s">
        <v>1889</v>
      </c>
      <c r="P359" s="1863"/>
      <c r="Q359" s="1878">
        <f>'Part II-Development Team'!Q114</f>
        <v>0</v>
      </c>
      <c r="R359" s="1878"/>
      <c r="S359" s="1878"/>
      <c r="Z359" s="1857">
        <v>114</v>
      </c>
    </row>
    <row r="360" spans="1:26" s="1856" customFormat="1" ht="11.25" customHeight="1">
      <c r="D360" s="1887"/>
      <c r="E360" s="1858" t="s">
        <v>3613</v>
      </c>
      <c r="H360" s="1878">
        <f>'Part II-Development Team'!H115</f>
        <v>8568541880</v>
      </c>
      <c r="I360" s="1878"/>
      <c r="J360" s="1918">
        <f>'Part II-Development Team'!J115</f>
        <v>0</v>
      </c>
      <c r="K360" s="1879" t="s">
        <v>1894</v>
      </c>
      <c r="L360" s="1872" t="str">
        <f>'Part II-Development Team'!L115</f>
        <v>sschoch@kitchenandassociates.com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7026</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7093</v>
      </c>
      <c r="H365" s="1863" t="str">
        <f>'Part II-Development Team'!H120</f>
        <v>N/A</v>
      </c>
      <c r="I365" s="1863"/>
      <c r="J365" s="1863"/>
      <c r="K365" s="1879" t="s">
        <v>1716</v>
      </c>
      <c r="L365" s="1863">
        <f>'Part II-Development Team'!L120</f>
        <v>0</v>
      </c>
      <c r="M365" s="1914"/>
      <c r="N365" s="1914"/>
      <c r="O365" s="1888" t="s">
        <v>3261</v>
      </c>
      <c r="P365" s="1863"/>
      <c r="Q365" s="1878">
        <f>'Part II-Development Team'!Q120</f>
        <v>0</v>
      </c>
      <c r="R365" s="1964"/>
      <c r="S365" s="1964"/>
      <c r="Z365" s="1857">
        <v>120</v>
      </c>
    </row>
    <row r="366" spans="1:26" s="1856" customFormat="1" ht="11.25" customHeight="1">
      <c r="D366" s="1887"/>
      <c r="E366" s="1858" t="s">
        <v>6486</v>
      </c>
      <c r="F366" s="1860"/>
      <c r="H366" s="1863">
        <f>'Part II-Development Team'!H121</f>
        <v>0</v>
      </c>
      <c r="I366" s="1914"/>
      <c r="J366" s="1914"/>
      <c r="K366" s="1914"/>
      <c r="L366" s="1914"/>
      <c r="M366" s="1914"/>
      <c r="N366" s="1914"/>
      <c r="O366" s="1888" t="s">
        <v>588</v>
      </c>
      <c r="P366" s="1863"/>
      <c r="Q366" s="1863">
        <f>'Part II-Development Team'!Q121</f>
        <v>0</v>
      </c>
      <c r="R366" s="1914"/>
      <c r="S366" s="1914"/>
      <c r="Z366" s="1857">
        <v>121</v>
      </c>
    </row>
    <row r="367" spans="1:26" s="1856" customFormat="1">
      <c r="D367" s="1887"/>
      <c r="E367" s="1858" t="s">
        <v>1717</v>
      </c>
      <c r="H367" s="1888">
        <f>'Part II-Development Team'!H122</f>
        <v>0</v>
      </c>
      <c r="I367" s="1879" t="s">
        <v>2128</v>
      </c>
      <c r="J367" s="1877">
        <f>'Part II-Development Team'!J122</f>
        <v>0</v>
      </c>
      <c r="K367" s="1914"/>
      <c r="L367" s="1879" t="s">
        <v>1894</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7094</v>
      </c>
      <c r="H369" s="1863">
        <f>'Part II-Development Team'!H124</f>
        <v>0</v>
      </c>
      <c r="I369" s="1863"/>
      <c r="J369" s="1863"/>
      <c r="K369" s="1879" t="s">
        <v>1716</v>
      </c>
      <c r="L369" s="1863">
        <f>'Part II-Development Team'!L124</f>
        <v>0</v>
      </c>
      <c r="M369" s="1914"/>
      <c r="N369" s="1914"/>
      <c r="O369" s="1888" t="s">
        <v>3261</v>
      </c>
      <c r="P369" s="1863"/>
      <c r="Q369" s="1878">
        <f>'Part II-Development Team'!Q124</f>
        <v>0</v>
      </c>
      <c r="R369" s="1964"/>
      <c r="S369" s="1964"/>
      <c r="Z369" s="1857">
        <v>124</v>
      </c>
    </row>
    <row r="370" spans="3:26" s="1856" customFormat="1">
      <c r="D370" s="1887"/>
      <c r="E370" s="1858" t="s">
        <v>6486</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7027</v>
      </c>
      <c r="H373" s="1863">
        <f>'Part II-Development Team'!H128</f>
        <v>0</v>
      </c>
      <c r="I373" s="1863"/>
      <c r="J373" s="1863"/>
      <c r="K373" s="1879" t="s">
        <v>1716</v>
      </c>
      <c r="L373" s="1863">
        <f>'Part II-Development Team'!L128</f>
        <v>0</v>
      </c>
      <c r="M373" s="1914"/>
      <c r="N373" s="1914"/>
      <c r="O373" s="1888" t="s">
        <v>3261</v>
      </c>
      <c r="P373" s="1863"/>
      <c r="Q373" s="1878">
        <f>'Part II-Development Team'!Q128</f>
        <v>0</v>
      </c>
      <c r="R373" s="1964"/>
      <c r="S373" s="1964"/>
      <c r="Z373" s="1857">
        <v>128</v>
      </c>
    </row>
    <row r="374" spans="3:26" s="1856" customFormat="1">
      <c r="D374" s="1887"/>
      <c r="E374" s="1858" t="s">
        <v>6486</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7095</v>
      </c>
      <c r="H377" s="1863">
        <f>'Part II-Development Team'!H132</f>
        <v>0</v>
      </c>
      <c r="I377" s="1863"/>
      <c r="J377" s="1863"/>
      <c r="K377" s="1879" t="s">
        <v>1716</v>
      </c>
      <c r="L377" s="1863">
        <f>'Part II-Development Team'!L132</f>
        <v>0</v>
      </c>
      <c r="M377" s="1914"/>
      <c r="N377" s="1914"/>
      <c r="O377" s="1888" t="s">
        <v>3261</v>
      </c>
      <c r="P377" s="1863"/>
      <c r="Q377" s="1878">
        <f>'Part II-Development Team'!Q132</f>
        <v>0</v>
      </c>
      <c r="R377" s="1964"/>
      <c r="S377" s="1964"/>
      <c r="Z377" s="1857">
        <v>132</v>
      </c>
    </row>
    <row r="378" spans="3:26" s="1856" customFormat="1">
      <c r="D378" s="1887"/>
      <c r="E378" s="1858" t="s">
        <v>6486</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7028</v>
      </c>
      <c r="H381" s="1863">
        <f>'Part II-Development Team'!H136</f>
        <v>0</v>
      </c>
      <c r="I381" s="1863"/>
      <c r="J381" s="1863"/>
      <c r="K381" s="1879" t="s">
        <v>1716</v>
      </c>
      <c r="L381" s="1863">
        <f>'Part II-Development Team'!L136</f>
        <v>0</v>
      </c>
      <c r="M381" s="1914"/>
      <c r="N381" s="1914"/>
      <c r="O381" s="1888" t="s">
        <v>3261</v>
      </c>
      <c r="P381" s="1863"/>
      <c r="Q381" s="1878">
        <f>'Part II-Development Team'!Q136</f>
        <v>0</v>
      </c>
      <c r="R381" s="1964"/>
      <c r="S381" s="1964"/>
      <c r="Z381" s="1868">
        <v>136</v>
      </c>
    </row>
    <row r="382" spans="3:26" s="1856" customFormat="1">
      <c r="D382" s="1887"/>
      <c r="E382" s="1858" t="s">
        <v>6486</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7096</v>
      </c>
      <c r="H385" s="1863">
        <f>'Part II-Development Team'!H140</f>
        <v>0</v>
      </c>
      <c r="I385" s="1863"/>
      <c r="J385" s="1863"/>
      <c r="K385" s="1879" t="s">
        <v>1716</v>
      </c>
      <c r="L385" s="1863">
        <f>'Part II-Development Team'!L140</f>
        <v>0</v>
      </c>
      <c r="M385" s="1914"/>
      <c r="N385" s="1914"/>
      <c r="O385" s="1888" t="s">
        <v>3261</v>
      </c>
      <c r="P385" s="1863"/>
      <c r="Q385" s="1878">
        <f>'Part II-Development Team'!Q140</f>
        <v>0</v>
      </c>
      <c r="R385" s="1964"/>
      <c r="S385" s="1964"/>
      <c r="Z385" s="1857">
        <v>140</v>
      </c>
    </row>
    <row r="386" spans="1:26" s="1856" customFormat="1">
      <c r="D386" s="1887"/>
      <c r="E386" s="1858" t="s">
        <v>6486</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7029</v>
      </c>
      <c r="H389" s="1863" t="str">
        <f>'Part II-Development Team'!H144</f>
        <v>Housing Authority of the City of Roswell</v>
      </c>
      <c r="I389" s="1863"/>
      <c r="J389" s="1863"/>
      <c r="K389" s="1879" t="s">
        <v>1716</v>
      </c>
      <c r="L389" s="1863" t="str">
        <f>'Part II-Development Team'!L144</f>
        <v>Beth Brown</v>
      </c>
      <c r="M389" s="1914"/>
      <c r="N389" s="1914"/>
      <c r="O389" s="1888" t="s">
        <v>3261</v>
      </c>
      <c r="P389" s="1863"/>
      <c r="Q389" s="1878">
        <f>'Part II-Development Team'!Q144</f>
        <v>7705361294</v>
      </c>
      <c r="R389" s="1964"/>
      <c r="S389" s="1964"/>
      <c r="Z389" s="1857">
        <v>144</v>
      </c>
    </row>
    <row r="390" spans="1:26" s="1856" customFormat="1" ht="11.25" customHeight="1">
      <c r="D390" s="1887"/>
      <c r="E390" s="1858" t="s">
        <v>6486</v>
      </c>
      <c r="F390" s="1860"/>
      <c r="H390" s="1863" t="str">
        <f>'Part II-Development Team'!H145</f>
        <v>199 Grove Way</v>
      </c>
      <c r="I390" s="1914"/>
      <c r="J390" s="1914"/>
      <c r="K390" s="1914"/>
      <c r="L390" s="1914"/>
      <c r="M390" s="1914"/>
      <c r="N390" s="1914"/>
      <c r="O390" s="1888" t="s">
        <v>588</v>
      </c>
      <c r="P390" s="1863"/>
      <c r="Q390" s="1863" t="str">
        <f>'Part II-Development Team'!Q145</f>
        <v>Roswell</v>
      </c>
      <c r="R390" s="1914"/>
      <c r="S390" s="1914"/>
      <c r="Z390" s="1868">
        <v>145</v>
      </c>
    </row>
    <row r="391" spans="1:26" s="1856" customFormat="1" ht="11.25" customHeight="1">
      <c r="D391" s="1887"/>
      <c r="E391" s="1858" t="s">
        <v>1717</v>
      </c>
      <c r="H391" s="1888" t="str">
        <f>'Part II-Development Team'!H146</f>
        <v>GA</v>
      </c>
      <c r="I391" s="1879" t="s">
        <v>2128</v>
      </c>
      <c r="J391" s="1877">
        <f>'Part II-Development Team'!J146</f>
        <v>300756500</v>
      </c>
      <c r="K391" s="1914"/>
      <c r="L391" s="1879" t="s">
        <v>1894</v>
      </c>
      <c r="M391" s="1872" t="str">
        <f>'Part II-Development Team'!M146</f>
        <v>bbrown@gainesvillehousing.org</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7030</v>
      </c>
      <c r="H393" s="1863" t="str">
        <f>'Part II-Development Team'!H148</f>
        <v>N/A</v>
      </c>
      <c r="I393" s="1863"/>
      <c r="J393" s="1863"/>
      <c r="K393" s="1879" t="s">
        <v>1716</v>
      </c>
      <c r="L393" s="1863">
        <f>'Part II-Development Team'!L148</f>
        <v>0</v>
      </c>
      <c r="M393" s="1914"/>
      <c r="N393" s="1914"/>
      <c r="O393" s="1888" t="s">
        <v>3261</v>
      </c>
      <c r="P393" s="1863"/>
      <c r="Q393" s="1878">
        <f>'Part II-Development Team'!Q148</f>
        <v>0</v>
      </c>
      <c r="R393" s="1964"/>
      <c r="S393" s="1964"/>
      <c r="Z393" s="1857">
        <v>148</v>
      </c>
    </row>
    <row r="394" spans="1:26" s="1856" customFormat="1" ht="11.25" customHeight="1">
      <c r="D394" s="1887"/>
      <c r="E394" s="1858" t="s">
        <v>6486</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6839</v>
      </c>
      <c r="H397" s="1854"/>
      <c r="I397" s="1854"/>
      <c r="J397" s="1854"/>
      <c r="K397" s="1854"/>
      <c r="L397" s="1854"/>
      <c r="M397" s="1854"/>
      <c r="N397" s="1854"/>
      <c r="O397" s="1854"/>
      <c r="P397" s="1854"/>
      <c r="Q397" s="1854"/>
      <c r="R397" s="1854"/>
      <c r="S397" s="1854"/>
      <c r="Z397" s="1857">
        <v>152</v>
      </c>
    </row>
    <row r="398" spans="1:26" s="1865" customFormat="1" ht="13.5" customHeight="1">
      <c r="A398" s="1856" t="s">
        <v>3435</v>
      </c>
      <c r="B398" s="1856"/>
      <c r="C398" s="1856"/>
      <c r="D398" s="1856"/>
      <c r="E398" s="1856"/>
      <c r="H398" s="1879" t="s">
        <v>2392</v>
      </c>
      <c r="I398" s="1863" t="s">
        <v>6792</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6484</v>
      </c>
      <c r="E400" s="1907"/>
      <c r="H400" s="1966" t="str">
        <f>'Part II-Development Team'!H155</f>
        <v>Yes</v>
      </c>
      <c r="I400" s="1951" t="str">
        <f>'Part II-Development Team'!I155</f>
        <v>Applicant has entered into an Option to Ground Lease with the Housing Authority of the city of Roswell (RHA). RHA is a co-general partner owner and a developer in the project</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4072</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4071</v>
      </c>
      <c r="C407" s="1854" t="str">
        <f>+'Part II-Development Team'!C162</f>
        <v>Owner and Management Company</v>
      </c>
      <c r="D407" s="1854"/>
      <c r="E407" s="1854"/>
      <c r="F407" s="1854"/>
      <c r="G407" s="1854"/>
      <c r="H407" s="1966" t="str">
        <f>'Part II-Development Team'!H162</f>
        <v>Yes</v>
      </c>
      <c r="I407" s="1951" t="str">
        <f>'Part II-Development Team'!I162</f>
        <v>The Owner and Management Company are both part of Pennrose. The current underwriting shows the management fee at 6% which is within DCA's underwriting standards</v>
      </c>
      <c r="J407" s="1951"/>
      <c r="K407" s="1951"/>
      <c r="L407" s="1951"/>
      <c r="M407" s="1951"/>
      <c r="N407" s="1951"/>
      <c r="O407" s="1951"/>
      <c r="P407" s="1951"/>
      <c r="Q407" s="1951"/>
      <c r="R407" s="1951"/>
      <c r="S407" s="1951"/>
      <c r="Z407" s="1857">
        <v>162</v>
      </c>
    </row>
    <row r="408" spans="1:26" s="1856" customFormat="1" ht="13.35" customHeight="1">
      <c r="A408" s="1856" t="s">
        <v>1711</v>
      </c>
      <c r="B408" s="1856" t="s">
        <v>7097</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6840</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7031</v>
      </c>
      <c r="L411" s="1907" t="s">
        <v>7032</v>
      </c>
      <c r="M411" s="1905" t="s">
        <v>7033</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7098</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t="str">
        <f>'Part II-Development Team'!E171</f>
        <v>Pennrose Holdings</v>
      </c>
      <c r="F416" s="1951"/>
      <c r="G416" s="1951"/>
      <c r="H416" s="1951"/>
      <c r="I416" s="1966" t="str">
        <f>'Part II-Development Team'!I171</f>
        <v>No</v>
      </c>
      <c r="J416" s="1966" t="str">
        <f>'Part II-Development Team'!J171</f>
        <v>No</v>
      </c>
      <c r="K416" s="1969" t="str">
        <f>'Part II-Development Team'!K171</f>
        <v>For Profit</v>
      </c>
      <c r="L416" s="1970">
        <f>'Part II-Development Team'!L171</f>
        <v>6.4999999999999994E-5</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3180</v>
      </c>
      <c r="B417" s="1905"/>
      <c r="C417" s="1905"/>
      <c r="D417" s="1905"/>
      <c r="E417" s="1951" t="str">
        <f>'Part II-Development Team'!E172</f>
        <v>Housing Authority of the City of Roswell</v>
      </c>
      <c r="F417" s="1951"/>
      <c r="G417" s="1951"/>
      <c r="H417" s="1951"/>
      <c r="I417" s="1966" t="str">
        <f>'Part II-Development Team'!I172</f>
        <v>No</v>
      </c>
      <c r="J417" s="1966" t="str">
        <f>'Part II-Development Team'!J172</f>
        <v>No</v>
      </c>
      <c r="K417" s="1969" t="str">
        <f>'Part II-Development Team'!K172</f>
        <v>Nonprofit</v>
      </c>
      <c r="L417" s="1970">
        <f>'Part II-Development Team'!L172</f>
        <v>3.4999999999999997E-5</v>
      </c>
      <c r="M417" s="1966" t="str">
        <f>'Part II-Development Team'!M172</f>
        <v>No</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f>'Part II-Development Team'!I173</f>
        <v>0</v>
      </c>
      <c r="J418" s="1966">
        <f>'Part II-Development Team'!J173</f>
        <v>0</v>
      </c>
      <c r="K418" s="1969">
        <f>'Part II-Development Team'!K173</f>
        <v>0</v>
      </c>
      <c r="L418" s="1970">
        <f>'Part II-Development Team'!L173</f>
        <v>0</v>
      </c>
      <c r="M418" s="1966">
        <f>'Part II-Development Team'!M173</f>
        <v>0</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t="str">
        <f>'Part II-Development Team'!E174</f>
        <v>Hudson Housing Capital LLC</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t="str">
        <f>'Part II-Development Team'!E175</f>
        <v>Hudson Housing Capital LLC</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f>'Part II-Development Team'!I176</f>
        <v>0</v>
      </c>
      <c r="J421" s="1966">
        <f>'Part II-Development Team'!J176</f>
        <v>0</v>
      </c>
      <c r="K421" s="1969">
        <f>'Part II-Development Team'!K176</f>
        <v>0</v>
      </c>
      <c r="L421" s="1970">
        <f>'Part II-Development Team'!L176</f>
        <v>0</v>
      </c>
      <c r="M421" s="1966">
        <f>'Part II-Development Team'!M176</f>
        <v>0</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t="str">
        <f>'Part II-Development Team'!E177</f>
        <v>Pennrose LLC</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2685</v>
      </c>
      <c r="B423" s="1905"/>
      <c r="C423" s="1905"/>
      <c r="D423" s="1905"/>
      <c r="E423" s="1951" t="str">
        <f>'Part II-Development Team'!E178</f>
        <v>Housing Authority of the City of Roswell</v>
      </c>
      <c r="F423" s="1951"/>
      <c r="G423" s="1951"/>
      <c r="H423" s="1951"/>
      <c r="I423" s="1966" t="str">
        <f>'Part II-Development Team'!I178</f>
        <v>No</v>
      </c>
      <c r="J423" s="1966" t="str">
        <f>'Part II-Development Team'!J178</f>
        <v>No</v>
      </c>
      <c r="K423" s="1969" t="str">
        <f>'Part II-Development Team'!K178</f>
        <v>Nonprofit</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f>'Part II-Development Team'!I179</f>
        <v>0</v>
      </c>
      <c r="J424" s="1966">
        <f>'Part II-Development Team'!J179</f>
        <v>0</v>
      </c>
      <c r="K424" s="1969">
        <f>'Part II-Development Team'!K179</f>
        <v>0</v>
      </c>
      <c r="L424" s="1970">
        <f>'Part II-Development Team'!L179</f>
        <v>0</v>
      </c>
      <c r="M424" s="1966">
        <f>'Part II-Development Team'!M179</f>
        <v>0</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f>'Part II-Development Team'!I180</f>
        <v>0</v>
      </c>
      <c r="J425" s="1966">
        <f>'Part II-Development Team'!J180</f>
        <v>0</v>
      </c>
      <c r="K425" s="1969">
        <f>'Part II-Development Team'!K180</f>
        <v>0</v>
      </c>
      <c r="L425" s="1970">
        <f>'Part II-Development Team'!L180</f>
        <v>0</v>
      </c>
      <c r="M425" s="1966">
        <f>'Part II-Development Team'!M180</f>
        <v>0</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f>'Part II-Development Team'!I181</f>
        <v>0</v>
      </c>
      <c r="J426" s="1966">
        <f>'Part II-Development Team'!J181</f>
        <v>0</v>
      </c>
      <c r="K426" s="1969">
        <f>'Part II-Development Team'!K181</f>
        <v>0</v>
      </c>
      <c r="L426" s="1970">
        <f>'Part II-Development Team'!L181</f>
        <v>0</v>
      </c>
      <c r="M426" s="1966">
        <f>'Part II-Development Team'!M181</f>
        <v>0</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t="str">
        <f>'Part II-Development Team'!E182</f>
        <v>Capstone Building Corp</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2689</v>
      </c>
      <c r="B428" s="1905"/>
      <c r="C428" s="1905"/>
      <c r="D428" s="1905"/>
      <c r="E428" s="1951" t="str">
        <f>'Part II-Development Team'!E183</f>
        <v>Pennrose Management Company</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 xml:space="preserve">Co-Developer 1 ,  the Housing Authority of the City of Roswell (RHA), is a public housing agency and has partnered with Pennrose to gain development/ownership experience/capacity in an effort to revitalize their existing RAD portfolio and adjacent properties.  Roswell Redevelopment Phase I is being submitted as a capacity building Application with RHA.  RHA is a non-fully qualified/experienced as a developer/owner for LIHTCs, and is seeking to gain development/ownership experience by partnering with Pennrose.  RHA has provided affordable housing in the City of Roswell at Pelfrey Pines (existing 95 RAD units) for over 50-years.  By partnering with RHA, we are able to build RHA's capacity, both financial and experience.  RHA is the leader for providing affordable housing in the City of Roswell.  This capacity building partnership will enable RHA to continue to not only be a leader in affordable housing but to create additional affordable housing in a area with high barriers of entry.  This Application is submitted by Pennrose, LLC and Hunt PR Holdings LLC as a  3rd Application which involves a partnership with a non-fully qualified entity gaining development/ownership experience.  If selected for funding for this 3rd project, requesting waiver for credit cap per developer.  
</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2021-018 Roswell Redevelopment Phase I, Roswell, Fulton County</v>
      </c>
      <c r="B436" s="1856"/>
      <c r="C436" s="1856"/>
      <c r="D436" s="1856"/>
      <c r="E436" s="1856"/>
      <c r="F436" s="1856"/>
      <c r="G436" s="1856"/>
      <c r="H436" s="1856"/>
      <c r="I436" s="1856"/>
      <c r="J436" s="1856"/>
      <c r="K436" s="1856"/>
      <c r="L436" s="1856"/>
      <c r="M436" s="1856"/>
      <c r="N436" s="1856"/>
      <c r="O436" s="1856"/>
      <c r="P436" s="1856"/>
      <c r="Q436" s="1856"/>
      <c r="S436" s="1875" t="str">
        <f>$A$2</f>
        <v>Roswell Redevelopment Phase I</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6289</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4056</v>
      </c>
      <c r="D441" s="1856"/>
      <c r="E441" s="1879" t="str">
        <f>'Part III-Sources of Funds'!E7</f>
        <v>No</v>
      </c>
      <c r="F441" s="1859" t="s">
        <v>6290</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6291</v>
      </c>
      <c r="H442" s="1869" t="str">
        <f>'Part III-Sources of Funds'!H8</f>
        <v>Specify Other HOME Source here</v>
      </c>
      <c r="I442" s="1869"/>
      <c r="J442" s="1869"/>
      <c r="L442" s="1879" t="str">
        <f>'Part III-Sources of Funds'!L8</f>
        <v>No</v>
      </c>
      <c r="M442" s="1859" t="s">
        <v>3275</v>
      </c>
      <c r="P442" s="1890"/>
      <c r="Q442" s="1890"/>
      <c r="S442" s="1956"/>
      <c r="T442" s="1956"/>
      <c r="Y442" s="1972"/>
      <c r="Z442" s="1857">
        <v>8</v>
      </c>
      <c r="AZ442" s="1972"/>
    </row>
    <row r="443" spans="1:52" s="1875" customFormat="1" ht="16.5" customHeight="1">
      <c r="A443" s="1857"/>
      <c r="B443" s="1879" t="str">
        <f>'Part III-Sources of Funds'!B9</f>
        <v>No</v>
      </c>
      <c r="C443" s="1875" t="s">
        <v>3439</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4057</v>
      </c>
      <c r="Q443" s="1890"/>
      <c r="S443" s="1956"/>
      <c r="T443" s="1956"/>
      <c r="Y443" s="1972"/>
      <c r="Z443" s="1857">
        <v>9</v>
      </c>
      <c r="AZ443" s="1972"/>
    </row>
    <row r="444" spans="1:52" s="1875" customFormat="1" ht="16.5" customHeight="1">
      <c r="A444" s="1857"/>
      <c r="B444" s="1879" t="str">
        <f>'Part III-Sources of Funds'!B10</f>
        <v>No</v>
      </c>
      <c r="C444" s="1859" t="s">
        <v>2481</v>
      </c>
      <c r="F444" s="1869" t="str">
        <f>'Part III-Sources of Funds'!F10</f>
        <v>Specify Source/Administrator of Other FEDERAL Funding here</v>
      </c>
      <c r="G444" s="1869"/>
      <c r="H444" s="1869"/>
      <c r="I444" s="1869"/>
      <c r="J444" s="1869"/>
      <c r="L444" s="1879" t="str">
        <f>'Part III-Sources of Funds'!L10</f>
        <v>No</v>
      </c>
      <c r="M444" s="1859" t="s">
        <v>3318</v>
      </c>
      <c r="P444" s="1890"/>
      <c r="Q444" s="1890"/>
      <c r="S444" s="1956"/>
      <c r="T444" s="1956"/>
      <c r="Y444" s="1972"/>
      <c r="Z444" s="1868">
        <v>10</v>
      </c>
      <c r="AZ444" s="1972"/>
    </row>
    <row r="445" spans="1:52" s="1875" customFormat="1" ht="16.5" customHeight="1">
      <c r="A445" s="1857"/>
      <c r="B445" s="1879" t="str">
        <f>'Part III-Sources of Funds'!B11</f>
        <v>No</v>
      </c>
      <c r="C445" s="1859" t="s">
        <v>2482</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2486</v>
      </c>
      <c r="S445" s="1956"/>
      <c r="T445" s="1956"/>
      <c r="Y445" s="1972"/>
      <c r="Z445" s="1857">
        <v>11</v>
      </c>
      <c r="AZ445" s="1972"/>
    </row>
    <row r="446" spans="1:52" s="1875" customFormat="1" ht="16.5" customHeight="1">
      <c r="A446" s="1857"/>
      <c r="B446" s="1879" t="str">
        <f>'Part III-Sources of Funds'!B12</f>
        <v>No</v>
      </c>
      <c r="C446" s="1859" t="s">
        <v>3321</v>
      </c>
      <c r="F446" s="1869" t="str">
        <f>'Part III-Sources of Funds'!F12</f>
        <v>Specify Source/Administrator of Other STATE/LOCAL Funding here</v>
      </c>
      <c r="G446" s="1869"/>
      <c r="H446" s="1869"/>
      <c r="I446" s="1869"/>
      <c r="J446" s="1869"/>
      <c r="L446" s="1879" t="str">
        <f>'Part III-Sources of Funds'!L12</f>
        <v>No</v>
      </c>
      <c r="M446" s="1875" t="s">
        <v>3351</v>
      </c>
      <c r="S446" s="1956"/>
      <c r="T446" s="1956"/>
      <c r="Y446" s="1972"/>
      <c r="Z446" s="1857">
        <v>12</v>
      </c>
      <c r="AZ446" s="1972"/>
    </row>
    <row r="447" spans="1:52" s="1875" customFormat="1" ht="16.5" customHeight="1">
      <c r="A447" s="1857"/>
      <c r="B447" s="1879" t="str">
        <f>'Part III-Sources of Funds'!B13</f>
        <v>No</v>
      </c>
      <c r="C447" s="1859" t="s">
        <v>2485</v>
      </c>
      <c r="E447" s="1879" t="str">
        <f>'Part III-Sources of Funds'!E13</f>
        <v>No</v>
      </c>
      <c r="F447" s="1859" t="s">
        <v>3350</v>
      </c>
      <c r="H447" s="1869" t="str">
        <f>'Part III-Sources of Funds'!H13</f>
        <v>RAD Section 8 PBRA</v>
      </c>
      <c r="I447" s="1869"/>
      <c r="J447" s="1869"/>
      <c r="L447" s="1879" t="str">
        <f>'Part III-Sources of Funds'!L13</f>
        <v>No</v>
      </c>
      <c r="M447" s="1875" t="s">
        <v>6288</v>
      </c>
      <c r="S447" s="1956"/>
      <c r="T447" s="1956"/>
      <c r="Y447" s="1972"/>
      <c r="Z447" s="1857">
        <v>13</v>
      </c>
      <c r="AZ447" s="1972"/>
    </row>
    <row r="448" spans="1:52" s="1875" customFormat="1" ht="16.5" customHeight="1">
      <c r="A448" s="1857"/>
      <c r="B448" s="1879" t="str">
        <f>'Part III-Sources of Funds'!B14</f>
        <v>No</v>
      </c>
      <c r="C448" s="1875" t="s">
        <v>2484</v>
      </c>
      <c r="E448" s="1879" t="str">
        <f>'Part III-Sources of Funds'!E14</f>
        <v>No</v>
      </c>
      <c r="F448" s="1859" t="s">
        <v>3438</v>
      </c>
      <c r="L448" s="1879" t="str">
        <f>'Part III-Sources of Funds'!L14</f>
        <v>Yes</v>
      </c>
      <c r="M448" s="1875" t="s">
        <v>6534</v>
      </c>
      <c r="S448" s="1956"/>
      <c r="T448" s="1956"/>
      <c r="Y448" s="1972"/>
      <c r="Z448" s="1857">
        <v>14</v>
      </c>
      <c r="AZ448" s="1972"/>
    </row>
    <row r="449" spans="1:52" s="1875" customFormat="1" ht="16.5" customHeight="1">
      <c r="A449" s="1857"/>
      <c r="B449" s="1879" t="str">
        <f>'Part III-Sources of Funds'!B15</f>
        <v>No</v>
      </c>
      <c r="C449" s="1875" t="s">
        <v>3349</v>
      </c>
      <c r="E449" s="1879" t="str">
        <f>'Part III-Sources of Funds'!E15</f>
        <v>No</v>
      </c>
      <c r="F449" s="1859" t="s">
        <v>6292</v>
      </c>
      <c r="L449" s="1879" t="str">
        <f>'Part III-Sources of Funds'!L15</f>
        <v>No</v>
      </c>
      <c r="M449" s="1890" t="s">
        <v>6293</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6832</v>
      </c>
      <c r="I450" s="1975">
        <f>'Part III-Sources of Funds'!I16</f>
        <v>0</v>
      </c>
      <c r="J450" s="1976"/>
      <c r="L450" s="1879" t="str">
        <f>'Part III-Sources of Funds'!L16</f>
        <v>No</v>
      </c>
      <c r="M450" s="1890" t="s">
        <v>6287</v>
      </c>
      <c r="Y450" s="1972"/>
      <c r="Z450" s="1857">
        <v>16</v>
      </c>
      <c r="AZ450" s="1972"/>
    </row>
    <row r="451" spans="1:52" s="1875" customFormat="1" ht="17.100000000000001" customHeight="1">
      <c r="A451" s="1857"/>
      <c r="B451" s="1875" t="s">
        <v>4058</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4021</v>
      </c>
      <c r="M455" s="1856"/>
      <c r="N455" s="1856" t="s">
        <v>1446</v>
      </c>
      <c r="O455" s="1856"/>
      <c r="P455" s="1856" t="s">
        <v>1564</v>
      </c>
      <c r="Q455" s="1856"/>
      <c r="S455" s="1852" t="s">
        <v>2537</v>
      </c>
      <c r="T455" s="1852"/>
      <c r="Y455" s="1972"/>
      <c r="Z455" s="1857">
        <v>21</v>
      </c>
      <c r="AZ455" s="1972" t="s">
        <v>6651</v>
      </c>
    </row>
    <row r="456" spans="1:52" s="1875" customFormat="1" ht="15.75" customHeight="1">
      <c r="A456" s="1856"/>
      <c r="B456" s="1856" t="s">
        <v>1525</v>
      </c>
      <c r="C456" s="1856"/>
      <c r="D456" s="1856"/>
      <c r="E456" s="1856"/>
      <c r="F456" s="1856"/>
      <c r="G456" s="1856"/>
      <c r="H456" s="1863" t="str">
        <f>'Part III-Sources of Funds'!H22</f>
        <v>Truist Community Capital</v>
      </c>
      <c r="I456" s="1863"/>
      <c r="J456" s="1863"/>
      <c r="K456" s="1863"/>
      <c r="L456" s="1871">
        <f>'Part III-Sources of Funds'!L22</f>
        <v>3983100</v>
      </c>
      <c r="M456" s="1871"/>
      <c r="N456" s="1977">
        <f>'Part III-Sources of Funds'!N22</f>
        <v>2.9499999999999998E-2</v>
      </c>
      <c r="O456" s="1977"/>
      <c r="P456" s="1978">
        <f>'Part III-Sources of Funds'!P22</f>
        <v>24</v>
      </c>
      <c r="Q456" s="1978"/>
      <c r="S456" s="1956"/>
      <c r="T456" s="1956"/>
      <c r="Y456" s="1972" t="s">
        <v>6651</v>
      </c>
      <c r="Z456" s="1857">
        <v>22</v>
      </c>
      <c r="AZ456" s="1972" t="s">
        <v>6652</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6652</v>
      </c>
      <c r="Z457" s="1857">
        <v>23</v>
      </c>
      <c r="AZ457" s="1972" t="s">
        <v>6653</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6653</v>
      </c>
      <c r="Z458" s="1857">
        <v>24</v>
      </c>
      <c r="AZ458" s="1972" t="s">
        <v>6654</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6654</v>
      </c>
      <c r="Z459" s="1857">
        <v>25</v>
      </c>
      <c r="AZ459" s="1972" t="s">
        <v>6655</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6655</v>
      </c>
      <c r="Z460" s="1868">
        <v>26</v>
      </c>
      <c r="AZ460" s="1972" t="s">
        <v>6656</v>
      </c>
    </row>
    <row r="461" spans="1:52" s="1875" customFormat="1" ht="15.75" customHeight="1">
      <c r="A461" s="1856"/>
      <c r="B461" s="1856" t="s">
        <v>611</v>
      </c>
      <c r="C461" s="1856"/>
      <c r="D461" s="1856"/>
      <c r="E461" s="1856"/>
      <c r="H461" s="1863" t="str">
        <f>'Part III-Sources of Funds'!H27</f>
        <v>Oak Street I MM LLC</v>
      </c>
      <c r="I461" s="1863"/>
      <c r="J461" s="1863"/>
      <c r="K461" s="1863"/>
      <c r="L461" s="1871">
        <f>'Part III-Sources of Funds'!L27</f>
        <v>269212</v>
      </c>
      <c r="M461" s="1871"/>
      <c r="N461" s="1979"/>
      <c r="O461" s="1979"/>
      <c r="P461" s="1856"/>
      <c r="Q461" s="1856"/>
      <c r="S461" s="1956"/>
      <c r="T461" s="1956"/>
      <c r="Y461" s="1972" t="s">
        <v>6656</v>
      </c>
      <c r="Z461" s="1857">
        <v>27</v>
      </c>
      <c r="AZ461" s="1972" t="s">
        <v>6657</v>
      </c>
    </row>
    <row r="462" spans="1:52" s="1875" customFormat="1" ht="15.75" customHeight="1">
      <c r="A462" s="1856"/>
      <c r="B462" s="1856" t="s">
        <v>769</v>
      </c>
      <c r="C462" s="1856"/>
      <c r="D462" s="1856"/>
      <c r="E462" s="1856"/>
      <c r="H462" s="1863" t="str">
        <f>'Part III-Sources of Funds'!H28</f>
        <v>Hudson Housing Capital LLC</v>
      </c>
      <c r="I462" s="1863"/>
      <c r="J462" s="1863"/>
      <c r="K462" s="1863"/>
      <c r="L462" s="1871">
        <f>'Part III-Sources of Funds'!L28</f>
        <v>7454810</v>
      </c>
      <c r="M462" s="1871"/>
      <c r="N462" s="1856"/>
      <c r="Q462" s="1856"/>
      <c r="S462" s="1956"/>
      <c r="T462" s="1956"/>
      <c r="Y462" s="1972" t="s">
        <v>6657</v>
      </c>
      <c r="Z462" s="1857">
        <v>28</v>
      </c>
      <c r="AZ462" s="1972" t="s">
        <v>6658</v>
      </c>
    </row>
    <row r="463" spans="1:52" s="1875" customFormat="1" ht="15.75" customHeight="1">
      <c r="A463" s="1856"/>
      <c r="B463" s="1856" t="s">
        <v>770</v>
      </c>
      <c r="C463" s="1856"/>
      <c r="D463" s="1856"/>
      <c r="E463" s="1856"/>
      <c r="H463" s="1863" t="str">
        <f>'Part III-Sources of Funds'!H29</f>
        <v>Hudson Housing Capital LLC</v>
      </c>
      <c r="I463" s="1863"/>
      <c r="J463" s="1863"/>
      <c r="K463" s="1863"/>
      <c r="L463" s="1871">
        <f>'Part III-Sources of Funds'!L29</f>
        <v>4709215</v>
      </c>
      <c r="M463" s="1871"/>
      <c r="N463" s="1856"/>
      <c r="Q463" s="1856"/>
      <c r="S463" s="1956"/>
      <c r="T463" s="1956"/>
      <c r="Y463" s="1972" t="s">
        <v>6658</v>
      </c>
      <c r="Z463" s="1857">
        <v>29</v>
      </c>
      <c r="AZ463" s="1972" t="s">
        <v>6659</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6659</v>
      </c>
      <c r="Z464" s="1857">
        <v>30</v>
      </c>
      <c r="AZ464" s="1972" t="s">
        <v>6660</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6660</v>
      </c>
      <c r="Z465" s="1857">
        <v>31</v>
      </c>
      <c r="AZ465" s="1972" t="s">
        <v>6661</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6661</v>
      </c>
      <c r="Z466" s="1857">
        <v>32</v>
      </c>
      <c r="AZ466" s="1972"/>
    </row>
    <row r="467" spans="1:52" s="1875" customFormat="1" ht="16.5" customHeight="1">
      <c r="A467" s="1856"/>
      <c r="B467" s="1858" t="s">
        <v>1250</v>
      </c>
      <c r="C467" s="1856"/>
      <c r="D467" s="1856"/>
      <c r="E467" s="1856"/>
      <c r="F467" s="1856"/>
      <c r="G467" s="1856"/>
      <c r="H467" s="1856"/>
      <c r="I467" s="1856"/>
      <c r="L467" s="1980">
        <f>SUM(L456:L466)</f>
        <v>16416337</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16416336.699996436</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0.30000356398522854</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4020</v>
      </c>
      <c r="J473" s="1856"/>
      <c r="K473" s="1857" t="s">
        <v>1722</v>
      </c>
      <c r="L473" s="1857" t="s">
        <v>2113</v>
      </c>
      <c r="M473" s="1857" t="s">
        <v>2113</v>
      </c>
      <c r="N473" s="1856" t="s">
        <v>69</v>
      </c>
      <c r="O473" s="1856"/>
      <c r="P473" s="1874"/>
      <c r="Q473" s="1874"/>
      <c r="S473" s="1852" t="s">
        <v>2537</v>
      </c>
      <c r="T473" s="1852"/>
      <c r="Y473" s="1972"/>
      <c r="Z473" s="1857">
        <v>39</v>
      </c>
      <c r="AZ473" s="1972" t="s">
        <v>6662</v>
      </c>
    </row>
    <row r="474" spans="1:52" s="1875" customFormat="1" ht="15.75" customHeight="1">
      <c r="A474" s="1856"/>
      <c r="B474" s="1856" t="s">
        <v>2490</v>
      </c>
      <c r="C474" s="1856"/>
      <c r="D474" s="1856"/>
      <c r="E474" s="1863" t="str">
        <f>'Part III-Sources of Funds'!E40</f>
        <v xml:space="preserve">Grandbridge Real Estate Capital </v>
      </c>
      <c r="F474" s="1863"/>
      <c r="G474" s="1863"/>
      <c r="H474" s="1863"/>
      <c r="I474" s="1894">
        <f>'Part III-Sources of Funds'!I40</f>
        <v>3000000</v>
      </c>
      <c r="J474" s="1863"/>
      <c r="K474" s="1983">
        <f>'Part III-Sources of Funds'!K40</f>
        <v>5.2499999999999998E-2</v>
      </c>
      <c r="L474" s="1879">
        <f>'Part III-Sources of Funds'!L40</f>
        <v>19</v>
      </c>
      <c r="M474" s="1879">
        <f>'Part III-Sources of Funds'!M40</f>
        <v>35</v>
      </c>
      <c r="N474" s="1863" t="str">
        <f>'Part III-Sources of Funds'!N40</f>
        <v>Amortizing</v>
      </c>
      <c r="O474" s="1863"/>
      <c r="P474" s="1981">
        <f>'Part III-Sources of Funds'!P40</f>
        <v>187467.49578763059</v>
      </c>
      <c r="Q474" s="1981"/>
      <c r="S474" s="1956"/>
      <c r="T474" s="1956"/>
      <c r="Y474" s="1972" t="s">
        <v>6662</v>
      </c>
      <c r="Z474" s="1857">
        <v>40</v>
      </c>
      <c r="AZ474" s="1972" t="s">
        <v>6663</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6663</v>
      </c>
      <c r="Z475" s="1857">
        <v>41</v>
      </c>
      <c r="AZ475" s="1972" t="s">
        <v>6664</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6664</v>
      </c>
      <c r="Z476" s="1857">
        <v>42</v>
      </c>
      <c r="AZ476" s="1972" t="s">
        <v>6665</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6665</v>
      </c>
      <c r="Z477" s="1857">
        <v>43</v>
      </c>
      <c r="AZ477" s="1972" t="s">
        <v>6666</v>
      </c>
    </row>
    <row r="478" spans="1:52" s="1875" customFormat="1" ht="15.75" customHeight="1">
      <c r="A478" s="1856"/>
      <c r="B478" s="1856" t="s">
        <v>4143</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6666</v>
      </c>
      <c r="Z478" s="1868">
        <v>44</v>
      </c>
      <c r="AZ478" s="1972" t="s">
        <v>6667</v>
      </c>
    </row>
    <row r="479" spans="1:52" s="1875" customFormat="1" ht="15.75" customHeight="1">
      <c r="A479" s="1856"/>
      <c r="B479" s="1856" t="s">
        <v>219</v>
      </c>
      <c r="C479" s="1856"/>
      <c r="D479" s="1985">
        <f>'Part III-Sources of Funds'!D45</f>
        <v>0.17870856534475449</v>
      </c>
      <c r="E479" s="1863" t="str">
        <f>'Part III-Sources of Funds'!E45</f>
        <v>Oak Street I MM LLC</v>
      </c>
      <c r="F479" s="1863"/>
      <c r="G479" s="1863"/>
      <c r="H479" s="1863"/>
      <c r="I479" s="1894">
        <f>'Part III-Sources of Funds'!I45</f>
        <v>357417.13068950898</v>
      </c>
      <c r="J479" s="1863"/>
      <c r="K479" s="1983">
        <f>'Part III-Sources of Funds'!K45</f>
        <v>0</v>
      </c>
      <c r="L479" s="1879">
        <f>'Part III-Sources of Funds'!L45</f>
        <v>0</v>
      </c>
      <c r="M479" s="1879">
        <f>'Part III-Sources of Funds'!M45</f>
        <v>0</v>
      </c>
      <c r="N479" s="1863" t="str">
        <f>'Part III-Sources of Funds'!N45</f>
        <v>Cash Flow</v>
      </c>
      <c r="O479" s="1863"/>
      <c r="P479" s="1981">
        <f>'Part III-Sources of Funds'!P45</f>
        <v>0</v>
      </c>
      <c r="Q479" s="1981"/>
      <c r="S479" s="1956"/>
      <c r="T479" s="1956"/>
      <c r="Y479" s="1972" t="s">
        <v>6667</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3557</v>
      </c>
      <c r="C481" s="1856"/>
      <c r="E481" s="1875" t="s">
        <v>3510</v>
      </c>
      <c r="F481" s="1988" t="e">
        <f>'Part III-Sources of Funds'!F47</f>
        <v>#N/A</v>
      </c>
      <c r="H481" s="1989" t="s">
        <v>3556</v>
      </c>
      <c r="I481" s="1988" t="e">
        <f>'Part III-Sources of Funds'!I47</f>
        <v>#N/A</v>
      </c>
      <c r="K481" s="1989" t="s">
        <v>3558</v>
      </c>
      <c r="L481" s="1990" t="e">
        <f>'Part III-Sources of Funds'!L47</f>
        <v>#N/A</v>
      </c>
      <c r="M481" s="1990"/>
      <c r="N481" s="1981" t="s">
        <v>4027</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6668</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6668</v>
      </c>
      <c r="Z483" s="1857">
        <v>49</v>
      </c>
      <c r="AZ483" s="1972" t="s">
        <v>6669</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6669</v>
      </c>
      <c r="Z484" s="1857">
        <v>50</v>
      </c>
      <c r="AZ484" s="1972" t="s">
        <v>6670</v>
      </c>
    </row>
    <row r="485" spans="1:52" s="1875" customFormat="1" ht="15.75" customHeight="1">
      <c r="A485" s="1856"/>
      <c r="B485" s="1856" t="s">
        <v>769</v>
      </c>
      <c r="C485" s="1856"/>
      <c r="D485" s="1856"/>
      <c r="E485" s="1863" t="str">
        <f>'Part III-Sources of Funds'!E51</f>
        <v>Hudson Housing Capital LLC</v>
      </c>
      <c r="F485" s="1863"/>
      <c r="G485" s="1863"/>
      <c r="H485" s="1863"/>
      <c r="I485" s="1894">
        <f>'Part III-Sources of Funds'!I51</f>
        <v>9500000</v>
      </c>
      <c r="J485" s="1863"/>
      <c r="L485" s="1995">
        <f>'Part III-Sources of Funds'!L51</f>
        <v>9500000</v>
      </c>
      <c r="M485" s="1995"/>
      <c r="N485" s="1996">
        <f>I485-L485</f>
        <v>0</v>
      </c>
      <c r="O485" s="1996"/>
      <c r="P485" s="1997">
        <f>I485/I495</f>
        <v>0.50378055941050315</v>
      </c>
      <c r="Q485" s="1856"/>
      <c r="S485" s="1956"/>
      <c r="T485" s="1956"/>
      <c r="Y485" s="1972" t="s">
        <v>6670</v>
      </c>
      <c r="Z485" s="1868">
        <v>51</v>
      </c>
      <c r="AZ485" s="1972" t="s">
        <v>6671</v>
      </c>
    </row>
    <row r="486" spans="1:52" s="1875" customFormat="1" ht="15.75" customHeight="1">
      <c r="A486" s="1856"/>
      <c r="B486" s="1856" t="s">
        <v>770</v>
      </c>
      <c r="C486" s="1856"/>
      <c r="D486" s="1856"/>
      <c r="E486" s="1863" t="str">
        <f>'Part III-Sources of Funds'!E52</f>
        <v>Hudson Housing Capital LLC</v>
      </c>
      <c r="F486" s="1863"/>
      <c r="G486" s="1863"/>
      <c r="H486" s="1863"/>
      <c r="I486" s="1894">
        <f>'Part III-Sources of Funds'!I52</f>
        <v>6000000</v>
      </c>
      <c r="J486" s="1863"/>
      <c r="L486" s="1995">
        <f>'Part III-Sources of Funds'!L52</f>
        <v>6000000</v>
      </c>
      <c r="M486" s="1995"/>
      <c r="N486" s="1996">
        <f>I486-L486</f>
        <v>0</v>
      </c>
      <c r="O486" s="1996"/>
      <c r="P486" s="1997">
        <f>I486/I495</f>
        <v>0.31817719541715989</v>
      </c>
      <c r="Q486" s="1856"/>
      <c r="S486" s="1956"/>
      <c r="T486" s="1956"/>
      <c r="Y486" s="1972" t="s">
        <v>6671</v>
      </c>
      <c r="Z486" s="1857">
        <v>52</v>
      </c>
      <c r="AZ486" s="1972" t="s">
        <v>6672</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0.82195775482766309</v>
      </c>
      <c r="Q487" s="1856"/>
      <c r="S487" s="1956"/>
      <c r="T487" s="1956"/>
      <c r="Y487" s="1972" t="s">
        <v>6672</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6673</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6673</v>
      </c>
      <c r="Z491" s="1857">
        <v>57</v>
      </c>
      <c r="AZ491" s="1972" t="s">
        <v>6674</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6674</v>
      </c>
      <c r="Z492" s="1857">
        <v>58</v>
      </c>
      <c r="AZ492" s="1972" t="s">
        <v>6675</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6675</v>
      </c>
      <c r="Z493" s="1857">
        <v>59</v>
      </c>
      <c r="AZ493" s="1972"/>
    </row>
    <row r="494" spans="1:52" s="1875" customFormat="1" ht="14.25" customHeight="1">
      <c r="A494" s="1856"/>
      <c r="B494" s="1858" t="s">
        <v>2115</v>
      </c>
      <c r="C494" s="1856"/>
      <c r="D494" s="1856"/>
      <c r="E494" s="1856"/>
      <c r="F494" s="1856"/>
      <c r="G494" s="1856"/>
      <c r="I494" s="1980">
        <f>SUM(I474:J479)+SUM(I483:J493)</f>
        <v>18857417.130689509</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18857416.83068594</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0.30000356957316399</v>
      </c>
      <c r="J496" s="1982"/>
      <c r="K496" s="1856"/>
      <c r="L496" s="1857"/>
      <c r="M496" s="1856"/>
      <c r="N496" s="1856"/>
      <c r="O496" s="1856"/>
      <c r="P496" s="1856"/>
      <c r="Q496" s="1856"/>
      <c r="S496" s="1956"/>
      <c r="T496" s="1956"/>
      <c r="Y496" s="1972"/>
      <c r="Z496" s="1857">
        <v>62</v>
      </c>
      <c r="AZ496" s="1972"/>
    </row>
    <row r="497" spans="1:53" s="1875" customFormat="1" ht="13.35" customHeight="1">
      <c r="A497" s="1856" t="s">
        <v>4144</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 xml:space="preserve">RHA converted Pelfrey Pines to RAD in 2015.  This Project has existing RAD (Section 8) which will be transferred to the new development - Roswel Redevelopment Phase I.  The Perm 1st Mortgage will be a Freddie Mac Loan </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2021-018 Roswell Redevelopment Phase I, ,  County</v>
      </c>
      <c r="W505" s="1856" t="str">
        <f>A505</f>
        <v>PART FOUR (A):  USES OF FUNDS  -  2021-018 Roswell Redevelopment Phase I,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8500</v>
      </c>
      <c r="H512" s="1871"/>
      <c r="J512" s="1871">
        <f>'Part IV-A-Uses of Funds'!J9</f>
        <v>8500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8500</v>
      </c>
      <c r="H513" s="1871"/>
      <c r="J513" s="1871">
        <f>'Part IV-A-Uses of Funds'!J10</f>
        <v>8500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32500</v>
      </c>
      <c r="H514" s="1871"/>
      <c r="J514" s="1871">
        <f>'Part IV-A-Uses of Funds'!J11</f>
        <v>32500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15000</v>
      </c>
      <c r="H515" s="1871"/>
      <c r="J515" s="1871">
        <f>'Part IV-A-Uses of Funds'!J12</f>
        <v>15000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20000</v>
      </c>
      <c r="H516" s="1871"/>
      <c r="J516" s="1871">
        <f>'Part IV-A-Uses of Funds'!J13</f>
        <v>20000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6575</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6676</v>
      </c>
      <c r="BA518" s="1857">
        <v>15</v>
      </c>
    </row>
    <row r="519" spans="1:53" s="1856" customFormat="1" ht="11.25" customHeight="1">
      <c r="A519" s="2006" t="str">
        <f>IF(AND(G519&gt;0,OR(C519="",C519="&lt;Enter detailed description here; use Comments section if needed&gt;")),"X","")</f>
        <v/>
      </c>
      <c r="B519" s="1864" t="s">
        <v>6576</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6677</v>
      </c>
      <c r="BA519" s="1857">
        <v>16</v>
      </c>
    </row>
    <row r="520" spans="1:53" s="1856" customFormat="1" ht="11.25" customHeight="1">
      <c r="A520" s="2006" t="str">
        <f>IF(AND(G520&gt;0,OR(C520="",C520="&lt;Enter detailed description here; use Comments section if needed&gt;")),"X","")</f>
        <v/>
      </c>
      <c r="B520" s="1864" t="s">
        <v>6577</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6678</v>
      </c>
      <c r="BA520" s="1857">
        <v>17</v>
      </c>
    </row>
    <row r="521" spans="1:53" s="1856" customFormat="1" ht="12.6" customHeight="1">
      <c r="F521" s="2007" t="s">
        <v>183</v>
      </c>
      <c r="G521" s="2002">
        <f>SUM(G512:G520)</f>
        <v>84500</v>
      </c>
      <c r="H521" s="2002"/>
      <c r="J521" s="2002">
        <f>SUM(J512:J520)</f>
        <v>84500</v>
      </c>
      <c r="K521" s="2002"/>
      <c r="L521" s="1889"/>
      <c r="M521" s="2002">
        <f>SUM(M512:M520)</f>
        <v>0</v>
      </c>
      <c r="N521" s="2002"/>
      <c r="P521" s="2002">
        <f>SUM(P512:P520)</f>
        <v>0</v>
      </c>
      <c r="Q521" s="2002"/>
      <c r="S521" s="2002">
        <f>SUM(S512:S520)</f>
        <v>0</v>
      </c>
      <c r="T521" s="2002"/>
      <c r="V521" s="2004">
        <f>SUM(V512:V520)</f>
        <v>0</v>
      </c>
      <c r="W521" s="2005"/>
      <c r="X521" s="2005"/>
      <c r="AZ521" s="1937" t="s">
        <v>6679</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3352</v>
      </c>
      <c r="F523" s="2010">
        <f>IF('Part I-Project Information'!$O$38="","",G523/'Part I-Project Information'!$O$38)</f>
        <v>184984.81728386445</v>
      </c>
      <c r="G523" s="1871">
        <f>'Part IV-A-Uses of Funds'!G20</f>
        <v>530000</v>
      </c>
      <c r="H523" s="1871"/>
      <c r="J523" s="1889"/>
      <c r="K523" s="2002"/>
      <c r="L523" s="1889"/>
      <c r="M523" s="1889"/>
      <c r="N523" s="2002"/>
      <c r="P523" s="1889"/>
      <c r="Q523" s="2002"/>
      <c r="S523" s="1871">
        <f>'Part IV-A-Uses of Funds'!S20</f>
        <v>530000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530000</v>
      </c>
      <c r="H527" s="2002"/>
      <c r="J527" s="1889"/>
      <c r="K527" s="2002"/>
      <c r="L527" s="1889"/>
      <c r="M527" s="2002">
        <f>SUM(M525:M526)</f>
        <v>0</v>
      </c>
      <c r="N527" s="2002"/>
      <c r="P527" s="1889"/>
      <c r="Q527" s="2002"/>
      <c r="S527" s="2002">
        <f>SUM(S523:S526)</f>
        <v>530000</v>
      </c>
      <c r="T527" s="2002"/>
      <c r="V527" s="2004">
        <f>SUM(V523:V526)</f>
        <v>0</v>
      </c>
      <c r="W527" s="2005"/>
      <c r="X527" s="2005"/>
      <c r="AZ527" s="1937" t="s">
        <v>6680</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3352</v>
      </c>
      <c r="F529" s="2010">
        <f>IF('Part I-Project Information'!$O$38="","",G529/'Part I-Project Information'!$O$38)</f>
        <v>349027.95713936689</v>
      </c>
      <c r="G529" s="1871">
        <f>'Part IV-A-Uses of Funds'!G26</f>
        <v>1000000</v>
      </c>
      <c r="H529" s="1871"/>
      <c r="J529" s="1871">
        <f>'Part IV-A-Uses of Funds'!J26</f>
        <v>500000</v>
      </c>
      <c r="K529" s="1871"/>
      <c r="L529" s="1889"/>
      <c r="M529" s="1871">
        <f>'Part IV-A-Uses of Funds'!M26</f>
        <v>0</v>
      </c>
      <c r="N529" s="1871"/>
      <c r="P529" s="1871">
        <f>'Part IV-A-Uses of Funds'!P26</f>
        <v>0</v>
      </c>
      <c r="Q529" s="1871"/>
      <c r="S529" s="1871">
        <f>'Part IV-A-Uses of Funds'!S26</f>
        <v>500000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1000000</v>
      </c>
      <c r="H531" s="2002"/>
      <c r="J531" s="2002">
        <f>SUM(J529:J530)</f>
        <v>500000</v>
      </c>
      <c r="K531" s="2002"/>
      <c r="L531" s="1889"/>
      <c r="M531" s="2002">
        <f>M529</f>
        <v>0</v>
      </c>
      <c r="N531" s="2002"/>
      <c r="P531" s="2002">
        <f>P529</f>
        <v>0</v>
      </c>
      <c r="Q531" s="2002"/>
      <c r="S531" s="2002">
        <f>SUM(S529:S530)</f>
        <v>500000</v>
      </c>
      <c r="T531" s="2002"/>
      <c r="V531" s="2004">
        <f>SUM(V529:V530)</f>
        <v>0</v>
      </c>
      <c r="W531" s="2005"/>
      <c r="X531" s="2005"/>
      <c r="AZ531" s="1937" t="s">
        <v>6681</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9954500</v>
      </c>
      <c r="H533" s="1871"/>
      <c r="J533" s="1871">
        <f>'Part IV-A-Uses of Funds'!J30</f>
        <v>9804500</v>
      </c>
      <c r="K533" s="1871"/>
      <c r="L533" s="1889"/>
      <c r="M533" s="1871">
        <f>'Part IV-A-Uses of Funds'!M30</f>
        <v>0</v>
      </c>
      <c r="N533" s="1871"/>
      <c r="P533" s="1871">
        <f>'Part IV-A-Uses of Funds'!P30</f>
        <v>0</v>
      </c>
      <c r="Q533" s="1871"/>
      <c r="S533" s="1871">
        <f>'Part IV-A-Uses of Funds'!S30</f>
        <v>150000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6299</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6297</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6298</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9954500</v>
      </c>
      <c r="H539" s="2002"/>
      <c r="J539" s="2002">
        <f>SUM(J533:J538)</f>
        <v>9804500</v>
      </c>
      <c r="K539" s="2002"/>
      <c r="L539" s="1889"/>
      <c r="M539" s="2002">
        <f>SUM(M533:M538)</f>
        <v>0</v>
      </c>
      <c r="N539" s="2002"/>
      <c r="P539" s="2002">
        <f>SUM(P533:P538)</f>
        <v>0</v>
      </c>
      <c r="Q539" s="2002"/>
      <c r="S539" s="2002">
        <f>SUM(S533:S538)</f>
        <v>150000</v>
      </c>
      <c r="T539" s="2002"/>
      <c r="V539" s="2004">
        <f>SUM(V533:V538)</f>
        <v>0</v>
      </c>
      <c r="W539" s="2005"/>
      <c r="X539" s="2005"/>
      <c r="AZ539" s="1937" t="s">
        <v>6682</v>
      </c>
      <c r="BA539" s="1857">
        <v>36</v>
      </c>
    </row>
    <row r="540" spans="2:53" s="1856" customFormat="1" ht="12" customHeight="1">
      <c r="B540" s="1856" t="s">
        <v>2239</v>
      </c>
      <c r="D540" s="1875" t="s">
        <v>3356</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657270</v>
      </c>
      <c r="F541" s="2015">
        <f>IF(($G$28+$G$36)=0,0,G541/($G$28+$G$36))</f>
        <v>0</v>
      </c>
      <c r="G541" s="1871">
        <f>'Part IV-A-Uses of Funds'!G38</f>
        <v>657270</v>
      </c>
      <c r="H541" s="1871"/>
      <c r="I541" s="1865"/>
      <c r="J541" s="1871">
        <f>'Part IV-A-Uses of Funds'!J38</f>
        <v>648270</v>
      </c>
      <c r="K541" s="1871"/>
      <c r="L541" s="1889"/>
      <c r="M541" s="1871">
        <f>'Part IV-A-Uses of Funds'!M38</f>
        <v>0</v>
      </c>
      <c r="N541" s="1871"/>
      <c r="P541" s="1871">
        <f>'Part IV-A-Uses of Funds'!P38</f>
        <v>0</v>
      </c>
      <c r="Q541" s="1871"/>
      <c r="S541" s="1871">
        <f>'Part IV-A-Uses of Funds'!S38</f>
        <v>9000</v>
      </c>
      <c r="T541" s="1871"/>
      <c r="V541" s="2004"/>
      <c r="W541" s="2005"/>
      <c r="X541" s="2005"/>
      <c r="AZ541" s="1937"/>
      <c r="BA541" s="1868">
        <v>38</v>
      </c>
    </row>
    <row r="542" spans="2:53" s="1856" customFormat="1" ht="11.25" customHeight="1">
      <c r="B542" s="1856" t="s">
        <v>2574</v>
      </c>
      <c r="D542" s="2015">
        <f>'DCA Underwriting Assumptions'!$R$79</f>
        <v>0.02</v>
      </c>
      <c r="E542" s="2016">
        <f>D542*(G531+G539)</f>
        <v>219090</v>
      </c>
      <c r="F542" s="2015">
        <f>IF(($G$28+$G$36)=0,0,G542/($G$28+$G$36))</f>
        <v>0</v>
      </c>
      <c r="G542" s="1871">
        <f>'Part IV-A-Uses of Funds'!G39</f>
        <v>219090</v>
      </c>
      <c r="H542" s="1871"/>
      <c r="I542" s="1865"/>
      <c r="J542" s="1871">
        <f>'Part IV-A-Uses of Funds'!J39</f>
        <v>216090</v>
      </c>
      <c r="K542" s="1871"/>
      <c r="L542" s="1889"/>
      <c r="M542" s="1871">
        <f>'Part IV-A-Uses of Funds'!M39</f>
        <v>0</v>
      </c>
      <c r="N542" s="1871"/>
      <c r="P542" s="1871">
        <f>'Part IV-A-Uses of Funds'!P39</f>
        <v>0</v>
      </c>
      <c r="Q542" s="1871"/>
      <c r="S542" s="1871">
        <f>'Part IV-A-Uses of Funds'!S39</f>
        <v>3000</v>
      </c>
      <c r="T542" s="1871"/>
      <c r="V542" s="2004"/>
      <c r="W542" s="2005"/>
      <c r="X542" s="2005"/>
      <c r="AZ542" s="1937"/>
      <c r="BA542" s="1857">
        <v>39</v>
      </c>
    </row>
    <row r="543" spans="2:53" s="1856" customFormat="1" ht="11.25" customHeight="1">
      <c r="B543" s="1856" t="s">
        <v>2575</v>
      </c>
      <c r="D543" s="2015">
        <f>'DCA Underwriting Assumptions'!$R$80</f>
        <v>0.06</v>
      </c>
      <c r="E543" s="2016">
        <f>D543*(G531+G539)</f>
        <v>657270</v>
      </c>
      <c r="F543" s="2015">
        <f>IF(($G$28+$G$36)=0,0,G543/($G$28+$G$36))</f>
        <v>0</v>
      </c>
      <c r="G543" s="1871">
        <f>'Part IV-A-Uses of Funds'!G40</f>
        <v>657270</v>
      </c>
      <c r="H543" s="1871"/>
      <c r="I543" s="1865"/>
      <c r="J543" s="1871">
        <f>'Part IV-A-Uses of Funds'!J40</f>
        <v>648270</v>
      </c>
      <c r="K543" s="1871"/>
      <c r="L543" s="1889"/>
      <c r="M543" s="1871">
        <f>'Part IV-A-Uses of Funds'!M40</f>
        <v>0</v>
      </c>
      <c r="N543" s="1871"/>
      <c r="P543" s="1871">
        <f>'Part IV-A-Uses of Funds'!P40</f>
        <v>0</v>
      </c>
      <c r="Q543" s="1871"/>
      <c r="S543" s="1871">
        <f>'Part IV-A-Uses of Funds'!S40</f>
        <v>9000</v>
      </c>
      <c r="T543" s="1871"/>
      <c r="V543" s="2004"/>
      <c r="W543" s="2005"/>
      <c r="X543" s="2005"/>
      <c r="AZ543" s="1937"/>
      <c r="BA543" s="1857">
        <v>40</v>
      </c>
    </row>
    <row r="544" spans="2:53" s="1856" customFormat="1" ht="12.6" customHeight="1">
      <c r="B544" s="1864" t="s">
        <v>3357</v>
      </c>
      <c r="D544" s="2014">
        <f>SUM(D541:D543)</f>
        <v>0.14000000000000001</v>
      </c>
      <c r="E544" s="2017">
        <f>SUM(E541:E543)</f>
        <v>1533630</v>
      </c>
      <c r="F544" s="2007" t="s">
        <v>183</v>
      </c>
      <c r="G544" s="2002">
        <f>SUM(G541:G543)</f>
        <v>1533630</v>
      </c>
      <c r="H544" s="2002"/>
      <c r="J544" s="2002">
        <f>SUM(J541:J543)</f>
        <v>1512630</v>
      </c>
      <c r="K544" s="2002"/>
      <c r="L544" s="1889"/>
      <c r="M544" s="2002">
        <f>SUM(M541:M543)</f>
        <v>0</v>
      </c>
      <c r="N544" s="2002"/>
      <c r="P544" s="2002">
        <f>SUM(P541:P543)</f>
        <v>0</v>
      </c>
      <c r="Q544" s="2002"/>
      <c r="S544" s="2002">
        <f>SUM(S541:S543)</f>
        <v>21000</v>
      </c>
      <c r="T544" s="2002"/>
      <c r="V544" s="2004">
        <f>SUM(V541:V543)</f>
        <v>0</v>
      </c>
      <c r="W544" s="2005"/>
      <c r="X544" s="2005"/>
      <c r="AZ544" s="1937" t="s">
        <v>6683</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6814</v>
      </c>
      <c r="E546" s="1857"/>
      <c r="F546" s="1857"/>
      <c r="G546" s="2019">
        <f>G531+G539+G544</f>
        <v>12488130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6684</v>
      </c>
      <c r="BA547" s="1857">
        <v>44</v>
      </c>
    </row>
    <row r="548" spans="1:53" s="1856" customFormat="1" ht="12" customHeight="1">
      <c r="B548" s="1856" t="s">
        <v>7099</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6578</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6685</v>
      </c>
      <c r="BA550" s="1868">
        <v>47</v>
      </c>
    </row>
    <row r="551" spans="1:53" s="1856" customFormat="1" ht="12.6" customHeight="1">
      <c r="B551" s="2020" t="s">
        <v>7100</v>
      </c>
      <c r="C551" s="2021"/>
      <c r="E551" s="1856" t="s">
        <v>2579</v>
      </c>
      <c r="F551" s="2022">
        <f>C552/'Part VI-Revenues &amp; Expenses'!$P$65</f>
        <v>131454</v>
      </c>
      <c r="G551" s="2023" t="s">
        <v>7101</v>
      </c>
      <c r="J551" s="2024">
        <f>C552/'Part VI-Revenues &amp; Expenses'!$P$67</f>
        <v>131454</v>
      </c>
      <c r="K551" s="2024"/>
      <c r="M551" s="2025" t="s">
        <v>6794</v>
      </c>
      <c r="N551" s="2025"/>
      <c r="P551" s="2024">
        <f>C552/'Part I-Project Information'!$P$70</f>
        <v>159.79692898272552</v>
      </c>
      <c r="Q551" s="2024"/>
      <c r="S551" s="1896" t="s">
        <v>6796</v>
      </c>
      <c r="T551" s="1896"/>
      <c r="V551" s="2008"/>
      <c r="W551" s="2005"/>
      <c r="X551" s="2005"/>
      <c r="AZ551" s="1937"/>
      <c r="BA551" s="1857">
        <v>48</v>
      </c>
    </row>
    <row r="552" spans="1:53" s="1856" customFormat="1" ht="12.6" customHeight="1">
      <c r="B552" s="2026" t="s">
        <v>6813</v>
      </c>
      <c r="C552" s="2027">
        <f>G531+G539+G544+G549</f>
        <v>12488130</v>
      </c>
      <c r="F552" s="2022">
        <f>C552/'Part VI-Revenues &amp; Expenses'!$P$166</f>
        <v>166.06555851063831</v>
      </c>
      <c r="G552" s="1896" t="s">
        <v>7102</v>
      </c>
      <c r="J552" s="2024">
        <f>C552/'Part VI-Revenues &amp; Expenses'!$P$168</f>
        <v>166.06555851063831</v>
      </c>
      <c r="K552" s="2024"/>
      <c r="M552" s="1896" t="s">
        <v>6795</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7103</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6606</v>
      </c>
      <c r="F557" s="2028" t="s">
        <v>3562</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3561</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624406.5</v>
      </c>
      <c r="F558" s="2031">
        <f>G558/C552</f>
        <v>0.05</v>
      </c>
      <c r="G558" s="1871">
        <f>'Part IV-A-Uses of Funds'!G55</f>
        <v>624406.5</v>
      </c>
      <c r="H558" s="1871"/>
      <c r="I558" s="1856"/>
      <c r="J558" s="1871">
        <f>'Part IV-A-Uses of Funds'!J55</f>
        <v>530745.52500000002</v>
      </c>
      <c r="K558" s="1871"/>
      <c r="L558" s="1889"/>
      <c r="M558" s="1871">
        <f>'Part IV-A-Uses of Funds'!M55</f>
        <v>0</v>
      </c>
      <c r="N558" s="1871"/>
      <c r="O558" s="1856"/>
      <c r="P558" s="1871">
        <f>'Part IV-A-Uses of Funds'!P55</f>
        <v>0</v>
      </c>
      <c r="Q558" s="1871"/>
      <c r="R558" s="1856"/>
      <c r="S558" s="1871">
        <f>'Part IV-A-Uses of Funds'!S55</f>
        <v>93660.974999999977</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6607</v>
      </c>
      <c r="C560" s="2021"/>
      <c r="E560" s="1856" t="s">
        <v>6608</v>
      </c>
      <c r="F560" s="2022">
        <f>B561/'Part VI-Revenues &amp; Expenses'!$P$65</f>
        <v>138026.70000000001</v>
      </c>
      <c r="G560" s="2023" t="s">
        <v>7101</v>
      </c>
      <c r="J560" s="2024">
        <f>B561/'Part VI-Revenues &amp; Expenses'!$P$67</f>
        <v>138026.70000000001</v>
      </c>
      <c r="K560" s="2024"/>
      <c r="M560" s="2025" t="s">
        <v>6794</v>
      </c>
      <c r="N560" s="2025"/>
      <c r="P560" s="2024">
        <f>B561/'Part I-Project Information'!$P$70</f>
        <v>167.7867754318618</v>
      </c>
      <c r="Q560" s="2024"/>
      <c r="S560" s="1896" t="s">
        <v>6796</v>
      </c>
      <c r="T560" s="1896"/>
      <c r="V560" s="2008"/>
      <c r="W560" s="2005"/>
      <c r="X560" s="2005"/>
      <c r="AZ560" s="1937"/>
      <c r="BA560" s="1857">
        <v>54</v>
      </c>
    </row>
    <row r="561" spans="1:53" s="1856" customFormat="1" ht="12.6" customHeight="1">
      <c r="B561" s="2027">
        <f>C552+G558</f>
        <v>13112536.5</v>
      </c>
      <c r="C561" s="2027"/>
      <c r="F561" s="2022">
        <f>B561/'Part VI-Revenues &amp; Expenses'!$P$166</f>
        <v>174.3688364361702</v>
      </c>
      <c r="G561" s="1896" t="s">
        <v>7102</v>
      </c>
      <c r="J561" s="2024">
        <f>B561/'Part VI-Revenues &amp; Expenses'!$P$168</f>
        <v>174.3688364361702</v>
      </c>
      <c r="K561" s="2024"/>
      <c r="M561" s="1896" t="s">
        <v>6795</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3358</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3359</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39831</v>
      </c>
      <c r="H566" s="1871"/>
      <c r="J566" s="1871">
        <f>'Part IV-A-Uses of Funds'!J63</f>
        <v>39831</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119739.69999643603</v>
      </c>
      <c r="H567" s="1871"/>
      <c r="J567" s="1871">
        <f>'Part IV-A-Uses of Funds'!J64</f>
        <v>119739.69999643603</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2244</v>
      </c>
      <c r="G568" s="1871">
        <f>'Part IV-A-Uses of Funds'!G65</f>
        <v>60000</v>
      </c>
      <c r="H568" s="1871"/>
      <c r="J568" s="1871">
        <f>'Part IV-A-Uses of Funds'!J65</f>
        <v>60000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6686</v>
      </c>
      <c r="BA568" s="1857">
        <v>65</v>
      </c>
    </row>
    <row r="569" spans="1:53" s="1856" customFormat="1" ht="12" customHeight="1">
      <c r="B569" s="1856" t="s">
        <v>2539</v>
      </c>
      <c r="G569" s="1871">
        <f>'Part IV-A-Uses of Funds'!G66</f>
        <v>28800</v>
      </c>
      <c r="H569" s="1871"/>
      <c r="J569" s="1871">
        <f>'Part IV-A-Uses of Funds'!J66</f>
        <v>28800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6687</v>
      </c>
      <c r="BA569" s="1857">
        <v>66</v>
      </c>
    </row>
    <row r="570" spans="1:53" s="1856" customFormat="1" ht="12" customHeight="1">
      <c r="B570" s="1856" t="s">
        <v>693</v>
      </c>
      <c r="G570" s="1871">
        <f>'Part IV-A-Uses of Funds'!G67</f>
        <v>0</v>
      </c>
      <c r="H570" s="1871"/>
      <c r="J570" s="1871">
        <f>'Part IV-A-Uses of Funds'!J67</f>
        <v>0</v>
      </c>
      <c r="K570" s="1871"/>
      <c r="L570" s="1889"/>
      <c r="M570" s="1871">
        <f>'Part IV-A-Uses of Funds'!M67</f>
        <v>0</v>
      </c>
      <c r="N570" s="1871"/>
      <c r="P570" s="1871">
        <f>'Part IV-A-Uses of Funds'!P67</f>
        <v>0</v>
      </c>
      <c r="Q570" s="1871"/>
      <c r="S570" s="1871">
        <f>'Part IV-A-Uses of Funds'!S67</f>
        <v>0</v>
      </c>
      <c r="T570" s="1871"/>
      <c r="V570" s="2004"/>
      <c r="W570" s="2005"/>
      <c r="X570" s="2005"/>
      <c r="AZ570" s="1937" t="s">
        <v>6688</v>
      </c>
      <c r="BA570" s="1857">
        <v>67</v>
      </c>
    </row>
    <row r="571" spans="1:53" s="1856" customFormat="1" ht="12" customHeight="1">
      <c r="B571" s="1856" t="s">
        <v>2245</v>
      </c>
      <c r="G571" s="1871">
        <f>'Part IV-A-Uses of Funds'!G68</f>
        <v>30000</v>
      </c>
      <c r="H571" s="1871"/>
      <c r="J571" s="1871">
        <f>'Part IV-A-Uses of Funds'!J68</f>
        <v>30000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48750</v>
      </c>
      <c r="H572" s="1871"/>
      <c r="J572" s="1871">
        <f>'Part IV-A-Uses of Funds'!J69</f>
        <v>48750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54500</v>
      </c>
      <c r="H573" s="1871"/>
      <c r="I573" s="1865"/>
      <c r="J573" s="1871">
        <f>'Part IV-A-Uses of Funds'!J70</f>
        <v>54500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6580</v>
      </c>
      <c r="C574" s="1869" t="str">
        <f>'Part IV-A-Uses of Funds'!C71</f>
        <v>Construction Lender Due Diligence Fees</v>
      </c>
      <c r="D574" s="1869"/>
      <c r="E574" s="1869"/>
      <c r="F574" s="1869"/>
      <c r="G574" s="1871">
        <f>'Part IV-A-Uses of Funds'!G71</f>
        <v>15000</v>
      </c>
      <c r="H574" s="1871"/>
      <c r="J574" s="1871">
        <f>'Part IV-A-Uses of Funds'!J71</f>
        <v>15000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6581</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396620.69999643601</v>
      </c>
      <c r="H576" s="2002"/>
      <c r="J576" s="2002">
        <f>SUM(J564:J575)</f>
        <v>396620.69999643601</v>
      </c>
      <c r="K576" s="2002"/>
      <c r="L576" s="1889"/>
      <c r="M576" s="2002">
        <f>SUM(M564:M575)</f>
        <v>0</v>
      </c>
      <c r="N576" s="2002"/>
      <c r="P576" s="2002">
        <f>SUM(P564:P575)</f>
        <v>0</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300000</v>
      </c>
      <c r="H578" s="1871"/>
      <c r="J578" s="1871">
        <f>'Part IV-A-Uses of Funds'!J75</f>
        <v>300000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100000</v>
      </c>
      <c r="H579" s="1871"/>
      <c r="J579" s="1871">
        <f>'Part IV-A-Uses of Funds'!J76</f>
        <v>100000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36575</v>
      </c>
      <c r="H580" s="1871"/>
      <c r="J580" s="1871">
        <f>'Part IV-A-Uses of Funds'!J77</f>
        <v>36575</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11765</v>
      </c>
      <c r="H581" s="1871"/>
      <c r="J581" s="1871">
        <f>'Part IV-A-Uses of Funds'!J78</f>
        <v>11765</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7500</v>
      </c>
      <c r="H582" s="1871"/>
      <c r="J582" s="1871">
        <f>'Part IV-A-Uses of Funds'!J79</f>
        <v>7500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6689</v>
      </c>
      <c r="BA582" s="1857">
        <v>79</v>
      </c>
    </row>
    <row r="583" spans="1:53" s="1856" customFormat="1" ht="12" customHeight="1">
      <c r="B583" s="1856" t="s">
        <v>1089</v>
      </c>
      <c r="G583" s="1871">
        <f>'Part IV-A-Uses of Funds'!G80</f>
        <v>30000</v>
      </c>
      <c r="H583" s="1871"/>
      <c r="J583" s="1871">
        <f>'Part IV-A-Uses of Funds'!J80</f>
        <v>30000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6690</v>
      </c>
      <c r="BA583" s="1857">
        <v>80</v>
      </c>
    </row>
    <row r="584" spans="1:53" s="1856" customFormat="1" ht="12" customHeight="1">
      <c r="B584" s="1856" t="s">
        <v>459</v>
      </c>
      <c r="G584" s="1871">
        <f>'Part IV-A-Uses of Funds'!G81</f>
        <v>100000</v>
      </c>
      <c r="H584" s="1871"/>
      <c r="J584" s="1871">
        <f>'Part IV-A-Uses of Funds'!J81</f>
        <v>100000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200000</v>
      </c>
      <c r="H585" s="1871"/>
      <c r="J585" s="1871">
        <f>'Part IV-A-Uses of Funds'!J82</f>
        <v>200000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1957</v>
      </c>
      <c r="G586" s="1871">
        <f>'Part IV-A-Uses of Funds'!G83</f>
        <v>45000</v>
      </c>
      <c r="H586" s="1871"/>
      <c r="J586" s="1871">
        <f>'Part IV-A-Uses of Funds'!J83</f>
        <v>45000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12500</v>
      </c>
      <c r="H587" s="1871"/>
      <c r="J587" s="1871">
        <f>'Part IV-A-Uses of Funds'!J84</f>
        <v>12500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6582</v>
      </c>
      <c r="C588" s="1869" t="str">
        <f>'Part IV-A-Uses of Funds'!C85</f>
        <v>Utilities: Transformer &amp; Site Lighting</v>
      </c>
      <c r="D588" s="1869"/>
      <c r="E588" s="1869"/>
      <c r="F588" s="1869"/>
      <c r="G588" s="1871">
        <f>'Part IV-A-Uses of Funds'!G85</f>
        <v>30000</v>
      </c>
      <c r="H588" s="1871"/>
      <c r="J588" s="1871">
        <f>'Part IV-A-Uses of Funds'!J85</f>
        <v>30000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873340</v>
      </c>
      <c r="H589" s="2002"/>
      <c r="J589" s="2002">
        <f>SUM(J578:J588)</f>
        <v>873340</v>
      </c>
      <c r="K589" s="2002"/>
      <c r="L589" s="1889"/>
      <c r="M589" s="2002">
        <f>SUM(M578:M588)</f>
        <v>0</v>
      </c>
      <c r="N589" s="2002"/>
      <c r="P589" s="2002">
        <f>SUM(P578:P588)</f>
        <v>0</v>
      </c>
      <c r="Q589" s="2002"/>
      <c r="S589" s="2002">
        <f>SUM(S578:S588)</f>
        <v>0</v>
      </c>
      <c r="T589" s="2002"/>
      <c r="V589" s="2004">
        <f>SUM(V578:V588)</f>
        <v>0</v>
      </c>
      <c r="W589" s="2005"/>
      <c r="X589" s="2005"/>
      <c r="AZ589" s="1937" t="s">
        <v>6691</v>
      </c>
      <c r="BA589" s="1857">
        <v>86</v>
      </c>
    </row>
    <row r="590" spans="1:53" s="1865" customFormat="1" ht="12" customHeight="1">
      <c r="A590" s="1856"/>
      <c r="B590" s="1856" t="s">
        <v>1221</v>
      </c>
      <c r="C590" s="1856"/>
      <c r="D590" s="2035" t="s">
        <v>3360</v>
      </c>
      <c r="E590" s="2036">
        <f>G595/'Part VI-Revenues &amp; Expenses'!$P$67</f>
        <v>5817.1105263157897</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91502.5</v>
      </c>
      <c r="H591" s="1871"/>
      <c r="J591" s="1871">
        <f>'Part IV-A-Uses of Funds'!J88</f>
        <v>91502.5</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185635</v>
      </c>
      <c r="H592" s="1871"/>
      <c r="J592" s="1871">
        <f>'Part IV-A-Uses of Funds'!J89</f>
        <v>185635</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f>'Part IV-A-Uses of Funds'!E90</f>
        <v>0</v>
      </c>
      <c r="G593" s="1871">
        <f>'Part IV-A-Uses of Funds'!G90</f>
        <v>86430</v>
      </c>
      <c r="H593" s="1871"/>
      <c r="I593" s="1865"/>
      <c r="J593" s="1871">
        <f>'Part IV-A-Uses of Funds'!J90</f>
        <v>86430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f>'Part IV-A-Uses of Funds'!E91</f>
        <v>0</v>
      </c>
      <c r="G594" s="1871">
        <f>'Part IV-A-Uses of Funds'!G91</f>
        <v>189058</v>
      </c>
      <c r="H594" s="1871"/>
      <c r="I594" s="1865"/>
      <c r="J594" s="1871">
        <f>'Part IV-A-Uses of Funds'!J91</f>
        <v>189058</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552625.5</v>
      </c>
      <c r="H595" s="2002"/>
      <c r="J595" s="2002">
        <f>SUM(J591:J594)</f>
        <v>552625.5</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7104</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6692</v>
      </c>
      <c r="BA599" s="1868">
        <v>93</v>
      </c>
    </row>
    <row r="600" spans="1:53" s="1856" customFormat="1" ht="12" customHeight="1">
      <c r="B600" s="1856" t="s">
        <v>1226</v>
      </c>
      <c r="G600" s="1871">
        <f>'Part IV-A-Uses of Funds'!G97</f>
        <v>50000</v>
      </c>
      <c r="H600" s="1871"/>
      <c r="J600" s="2002"/>
      <c r="K600" s="2002"/>
      <c r="L600" s="1889"/>
      <c r="M600" s="2002"/>
      <c r="N600" s="2002"/>
      <c r="P600" s="2002"/>
      <c r="Q600" s="2002"/>
      <c r="S600" s="1871">
        <f>'Part IV-A-Uses of Funds'!S97</f>
        <v>50000</v>
      </c>
      <c r="T600" s="1871"/>
      <c r="V600" s="2004"/>
      <c r="W600" s="2005"/>
      <c r="X600" s="2005"/>
      <c r="AZ600" s="1937" t="s">
        <v>6693</v>
      </c>
      <c r="BA600" s="1857">
        <v>94</v>
      </c>
    </row>
    <row r="601" spans="1:53" s="1856" customFormat="1" ht="12" customHeight="1">
      <c r="B601" s="1856" t="s">
        <v>1227</v>
      </c>
      <c r="G601" s="1871">
        <f>'Part IV-A-Uses of Funds'!G98</f>
        <v>30000</v>
      </c>
      <c r="H601" s="1871"/>
      <c r="J601" s="2002"/>
      <c r="K601" s="2002"/>
      <c r="L601" s="1889"/>
      <c r="M601" s="2002"/>
      <c r="N601" s="2002"/>
      <c r="P601" s="2002"/>
      <c r="Q601" s="2002"/>
      <c r="S601" s="1871">
        <f>'Part IV-A-Uses of Funds'!S98</f>
        <v>30000</v>
      </c>
      <c r="T601" s="1871"/>
      <c r="V601" s="2004"/>
      <c r="W601" s="2005"/>
      <c r="X601" s="2005"/>
      <c r="AZ601" s="1937"/>
      <c r="BA601" s="1857">
        <v>95</v>
      </c>
    </row>
    <row r="602" spans="1:53" s="1856" customFormat="1" ht="12" customHeight="1">
      <c r="B602" s="1856" t="s">
        <v>1228</v>
      </c>
      <c r="G602" s="1871">
        <f>'Part IV-A-Uses of Funds'!G99</f>
        <v>26250</v>
      </c>
      <c r="H602" s="1871"/>
      <c r="J602" s="2002"/>
      <c r="K602" s="2002"/>
      <c r="L602" s="1889"/>
      <c r="M602" s="2002"/>
      <c r="N602" s="2002"/>
      <c r="P602" s="2002"/>
      <c r="Q602" s="2002"/>
      <c r="S602" s="1871">
        <f>'Part IV-A-Uses of Funds'!S99</f>
        <v>26250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6583</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106250</v>
      </c>
      <c r="H606" s="2002"/>
      <c r="J606" s="2002"/>
      <c r="K606" s="2002"/>
      <c r="L606" s="1889"/>
      <c r="M606" s="2002"/>
      <c r="N606" s="2002"/>
      <c r="P606" s="2002"/>
      <c r="Q606" s="2002"/>
      <c r="S606" s="2002">
        <f>SUM(S600:S605)</f>
        <v>106250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1000</v>
      </c>
      <c r="H608" s="1871"/>
      <c r="J608" s="1889"/>
      <c r="K608" s="1889"/>
      <c r="L608" s="1889"/>
      <c r="M608" s="1889"/>
      <c r="N608" s="1889"/>
      <c r="P608" s="1889"/>
      <c r="Q608" s="1889"/>
      <c r="S608" s="1871">
        <f>'Part IV-A-Uses of Funds'!S105</f>
        <v>1000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6694</v>
      </c>
      <c r="BA609" s="1857">
        <v>106</v>
      </c>
    </row>
    <row r="610" spans="1:53" s="1856" customFormat="1" ht="12.6" customHeight="1">
      <c r="B610" s="1856" t="s">
        <v>3461</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6695</v>
      </c>
      <c r="BA610" s="1857">
        <v>107</v>
      </c>
    </row>
    <row r="611" spans="1:53" s="1856" customFormat="1" ht="12.6" customHeight="1">
      <c r="B611" s="1856" t="s">
        <v>494</v>
      </c>
      <c r="E611" s="2039">
        <f>ROUNDUP('DCA Underwriting Assumptions'!$Q$93*J700,0)</f>
        <v>80000</v>
      </c>
      <c r="F611" s="2039"/>
      <c r="G611" s="1871">
        <f>'Part IV-A-Uses of Funds'!G108</f>
        <v>80000</v>
      </c>
      <c r="H611" s="1871"/>
      <c r="J611" s="2040" t="str">
        <f>IF(E611&gt;G611,"WARNING!  LIHTC Allocation Fee proposed is below minimum required.","")</f>
        <v/>
      </c>
      <c r="K611" s="1889"/>
      <c r="L611" s="1889"/>
      <c r="M611" s="1889"/>
      <c r="N611" s="1889"/>
      <c r="P611" s="1889"/>
      <c r="Q611" s="1889"/>
      <c r="S611" s="1871">
        <f>'Part IV-A-Uses of Funds'!S108</f>
        <v>80000</v>
      </c>
      <c r="T611" s="1871"/>
      <c r="V611" s="2004"/>
      <c r="W611" s="2005"/>
      <c r="X611" s="2005"/>
      <c r="AZ611" s="1937" t="s">
        <v>6696</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95000</v>
      </c>
      <c r="F612" s="2039"/>
      <c r="G612" s="1871">
        <f>'Part IV-A-Uses of Funds'!G109</f>
        <v>95000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95000</v>
      </c>
      <c r="T612" s="1871"/>
      <c r="V612" s="2004"/>
      <c r="W612" s="2005"/>
      <c r="X612" s="2005"/>
      <c r="AZ612" s="1937"/>
      <c r="BA612" s="1868">
        <v>109</v>
      </c>
    </row>
    <row r="613" spans="1:53" s="1856" customFormat="1" ht="12.6" customHeight="1">
      <c r="B613" s="1856" t="s">
        <v>3601</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3602</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6579</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6579</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6697</v>
      </c>
      <c r="BA616" s="1857">
        <v>113</v>
      </c>
    </row>
    <row r="617" spans="1:53" s="1856" customFormat="1" ht="12.6" customHeight="1">
      <c r="F617" s="2007" t="s">
        <v>183</v>
      </c>
      <c r="G617" s="2002">
        <f>SUM(G608:G616)</f>
        <v>185500</v>
      </c>
      <c r="H617" s="2002"/>
      <c r="J617" s="1889"/>
      <c r="K617" s="1889"/>
      <c r="L617" s="1889"/>
      <c r="M617" s="1889"/>
      <c r="N617" s="1889"/>
      <c r="P617" s="1889"/>
      <c r="Q617" s="1889"/>
      <c r="S617" s="2002">
        <f>SUM(S608:S616)</f>
        <v>185500</v>
      </c>
      <c r="T617" s="2002"/>
      <c r="V617" s="2004">
        <f>SUM(V608:V616)</f>
        <v>0</v>
      </c>
      <c r="W617" s="2043"/>
      <c r="X617" s="2043"/>
      <c r="AZ617" s="1937" t="s">
        <v>6698</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40000</v>
      </c>
      <c r="H619" s="1871"/>
      <c r="J619" s="2002"/>
      <c r="K619" s="2002"/>
      <c r="L619" s="1889"/>
      <c r="M619" s="2002"/>
      <c r="N619" s="2002"/>
      <c r="P619" s="2002"/>
      <c r="Q619" s="2002"/>
      <c r="S619" s="1871">
        <f>'Part IV-A-Uses of Funds'!S116</f>
        <v>40000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6579</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40000</v>
      </c>
      <c r="H623" s="2002"/>
      <c r="J623" s="2002"/>
      <c r="K623" s="2002"/>
      <c r="L623" s="1889"/>
      <c r="M623" s="2002"/>
      <c r="N623" s="2002"/>
      <c r="P623" s="2002"/>
      <c r="Q623" s="2002"/>
      <c r="S623" s="2002">
        <f>SUM(S619:S622)</f>
        <v>40000</v>
      </c>
      <c r="T623" s="2002"/>
      <c r="V623" s="2004">
        <f>SUM(V619:V622)</f>
        <v>0</v>
      </c>
      <c r="W623" s="2005"/>
      <c r="X623" s="2005"/>
      <c r="AC623" s="1950" t="s">
        <v>4112</v>
      </c>
      <c r="AD623" s="1950" t="s">
        <v>4113</v>
      </c>
      <c r="AE623" s="1950" t="s">
        <v>4118</v>
      </c>
      <c r="AF623" s="1864" t="s">
        <v>4114</v>
      </c>
      <c r="AZ623" s="1924"/>
      <c r="BA623" s="1857">
        <v>120</v>
      </c>
    </row>
    <row r="624" spans="1:53" s="1856" customFormat="1" ht="13.35" customHeight="1">
      <c r="B624" s="1856" t="s">
        <v>270</v>
      </c>
      <c r="D624" s="1989" t="s">
        <v>4115</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4103</v>
      </c>
      <c r="Z624" s="1967"/>
      <c r="AA624" s="2044" t="s">
        <v>4109</v>
      </c>
      <c r="AB624" s="2044" t="s">
        <v>4110</v>
      </c>
      <c r="AC624" s="1950"/>
      <c r="AD624" s="1950"/>
      <c r="AE624" s="1950"/>
      <c r="AF624" s="1864"/>
      <c r="AI624" s="1924"/>
      <c r="AK624" s="2045"/>
      <c r="AZ624" s="1924" t="s">
        <v>6699</v>
      </c>
      <c r="BA624" s="1868">
        <v>121</v>
      </c>
    </row>
    <row r="625" spans="1:53" s="1856" customFormat="1" ht="12.6" customHeight="1">
      <c r="B625" s="1856" t="s">
        <v>1774</v>
      </c>
      <c r="F625" s="1984">
        <f>IF($G$127=0,0,G625/$G$127)</f>
        <v>0</v>
      </c>
      <c r="G625" s="1871">
        <f>'Part IV-A-Uses of Funds'!G122</f>
        <v>381000</v>
      </c>
      <c r="H625" s="1871"/>
      <c r="J625" s="1871">
        <f>'Part IV-A-Uses of Funds'!J122</f>
        <v>381000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1600000</v>
      </c>
      <c r="AI625" s="1924"/>
      <c r="AZ625" s="1924"/>
      <c r="BA625" s="1857">
        <v>122</v>
      </c>
    </row>
    <row r="626" spans="1:53" s="1856" customFormat="1" ht="12.6" customHeight="1">
      <c r="B626" s="1856" t="s">
        <v>3563</v>
      </c>
      <c r="F626" s="2050">
        <f>'Part IV-A-Uses of Funds'!F123</f>
        <v>726214</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95000</v>
      </c>
      <c r="H627" s="1871"/>
      <c r="J627" s="1871">
        <f>'Part IV-A-Uses of Funds'!J124</f>
        <v>95000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350000</v>
      </c>
      <c r="AF627" s="2049"/>
      <c r="AI627" s="1924"/>
      <c r="AZ627" s="1924"/>
      <c r="BA627" s="1857">
        <v>124</v>
      </c>
    </row>
    <row r="628" spans="1:53" s="1856" customFormat="1" ht="12.6" customHeight="1">
      <c r="B628" s="1856" t="s">
        <v>3284</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1524000</v>
      </c>
      <c r="H629" s="1871"/>
      <c r="J629" s="1871">
        <f>'Part IV-A-Uses of Funds'!J126</f>
        <v>1524000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4111</v>
      </c>
      <c r="E630" s="2054" t="str">
        <f>IF(E624="9%",AF625,IF(E624="4%",AF628,"Enter app type!"))</f>
        <v>Enter app type!</v>
      </c>
      <c r="F630" s="2007" t="s">
        <v>183</v>
      </c>
      <c r="G630" s="2002">
        <f>SUM(G625:G629)</f>
        <v>2000000</v>
      </c>
      <c r="H630" s="2002"/>
      <c r="J630" s="2002">
        <f>SUM(J625:J629)</f>
        <v>2000000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6700</v>
      </c>
      <c r="BA631" s="1857">
        <v>128</v>
      </c>
    </row>
    <row r="632" spans="1:53" s="1856" customFormat="1" ht="12.6" customHeight="1">
      <c r="B632" s="1856" t="s">
        <v>240</v>
      </c>
      <c r="G632" s="1871">
        <f>'Part IV-A-Uses of Funds'!G129</f>
        <v>50000</v>
      </c>
      <c r="H632" s="1871"/>
      <c r="J632" s="2038"/>
      <c r="K632" s="2038"/>
      <c r="L632" s="2038"/>
      <c r="M632" s="2038"/>
      <c r="N632" s="2038"/>
      <c r="P632" s="2038"/>
      <c r="Q632" s="2038"/>
      <c r="S632" s="1871">
        <f>'Part IV-A-Uses of Funds'!S129</f>
        <v>50000</v>
      </c>
      <c r="T632" s="1871"/>
      <c r="V632" s="2004"/>
      <c r="W632" s="2005"/>
      <c r="X632" s="2005"/>
      <c r="Y632" s="1950" t="s">
        <v>4105</v>
      </c>
      <c r="Z632" s="2055"/>
      <c r="AB632" s="2045"/>
      <c r="AC632" s="1924"/>
      <c r="AD632" s="1924"/>
      <c r="AF632" s="1924"/>
      <c r="AG632" s="1924"/>
      <c r="AH632" s="1924"/>
      <c r="AI632" s="1924"/>
      <c r="AJ632" s="1924"/>
      <c r="AK632" s="1924"/>
      <c r="AZ632" s="1937" t="s">
        <v>6701</v>
      </c>
      <c r="BA632" s="1857">
        <v>129</v>
      </c>
    </row>
    <row r="633" spans="1:53" s="1856" customFormat="1" ht="12.6" customHeight="1">
      <c r="B633" s="1856" t="s">
        <v>1474</v>
      </c>
      <c r="F633" s="2010">
        <f>+'Part VI-Revenues &amp; Expenses'!$Q$225*('DCA Underwriting Assumptions'!$Q$127/12)</f>
        <v>119204.75</v>
      </c>
      <c r="G633" s="1871">
        <f>'Part IV-A-Uses of Funds'!G130</f>
        <v>124881.46093189654</v>
      </c>
      <c r="H633" s="1871"/>
      <c r="J633" s="2056" t="str">
        <f>IF(E633&gt;G633,"WARNING! Rent-Up Reserves proposed is below minimum - add comment.","")</f>
        <v/>
      </c>
      <c r="K633" s="2056"/>
      <c r="L633" s="1889"/>
      <c r="M633" s="2002"/>
      <c r="N633" s="2002"/>
      <c r="P633" s="2002"/>
      <c r="Q633" s="2002"/>
      <c r="S633" s="1871">
        <f>'Part IV-A-Uses of Funds'!S130</f>
        <v>124881.46093189654</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332143.24789381528</v>
      </c>
      <c r="G634" s="1871">
        <f>'Part IV-A-Uses of Funds'!G131</f>
        <v>343496.66975760838</v>
      </c>
      <c r="H634" s="1871"/>
      <c r="J634" s="2056" t="str">
        <f>IF(E634&gt;G634,"WARNING! ODR proposed is below minimum - add comment.","")</f>
        <v/>
      </c>
      <c r="K634" s="2038"/>
      <c r="L634" s="2038"/>
      <c r="M634" s="2038"/>
      <c r="N634" s="2038"/>
      <c r="P634" s="2038"/>
      <c r="Q634" s="2038"/>
      <c r="S634" s="1871">
        <f>'Part IV-A-Uses of Funds'!S131</f>
        <v>343496.66975760838</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6702</v>
      </c>
      <c r="BA635" s="1857">
        <v>132</v>
      </c>
    </row>
    <row r="636" spans="1:53" s="1856" customFormat="1" ht="12.6" customHeight="1">
      <c r="B636" s="1856" t="s">
        <v>1199</v>
      </c>
      <c r="E636" s="2009" t="s">
        <v>3258</v>
      </c>
      <c r="F636" s="2010">
        <f>IF('Part VI-Revenues &amp; Expenses'!$P$67=0,0,G636/'Part VI-Revenues &amp; Expenses'!$P$67)</f>
        <v>1315.7894736842106</v>
      </c>
      <c r="G636" s="1871">
        <f>'Part IV-A-Uses of Funds'!G133</f>
        <v>125000</v>
      </c>
      <c r="H636" s="1871"/>
      <c r="J636" s="1871">
        <f>'Part IV-A-Uses of Funds'!J133</f>
        <v>125000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6703</v>
      </c>
      <c r="BA636" s="1857">
        <v>133</v>
      </c>
    </row>
    <row r="637" spans="1:53" s="1856" customFormat="1" ht="12.6" customHeight="1">
      <c r="A637" s="2006" t="str">
        <f>IF(AND(G637&gt;0,OR(C637="",C637="&lt;Enter detailed description here; use Comments section if needed&gt;")),"X","")</f>
        <v/>
      </c>
      <c r="B637" s="1864" t="s">
        <v>6579</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643378.13068950491</v>
      </c>
      <c r="H638" s="2002"/>
      <c r="J638" s="2002">
        <f>SUM(J636:J637)</f>
        <v>125000</v>
      </c>
      <c r="K638" s="2002"/>
      <c r="L638" s="1889"/>
      <c r="M638" s="2002">
        <f>SUM(M636:M637)</f>
        <v>0</v>
      </c>
      <c r="N638" s="2002"/>
      <c r="P638" s="2002">
        <f>SUM(P636:P637)</f>
        <v>0</v>
      </c>
      <c r="Q638" s="2002"/>
      <c r="S638" s="2002">
        <f>SUM(S632:S637)</f>
        <v>518378.13068950491</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7104</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332666</v>
      </c>
      <c r="H645" s="1871"/>
      <c r="J645" s="1871">
        <f>'Part IV-A-Uses of Funds'!J142</f>
        <v>83167</v>
      </c>
      <c r="K645" s="1871"/>
      <c r="L645" s="1889"/>
      <c r="M645" s="1871">
        <f>'Part IV-A-Uses of Funds'!M142</f>
        <v>0</v>
      </c>
      <c r="N645" s="1871"/>
      <c r="P645" s="1871">
        <f>'Part IV-A-Uses of Funds'!P142</f>
        <v>0</v>
      </c>
      <c r="Q645" s="1871"/>
      <c r="S645" s="1871">
        <f>'Part IV-A-Uses of Funds'!S142</f>
        <v>249499</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6579</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332666</v>
      </c>
      <c r="H647" s="2002"/>
      <c r="J647" s="2002">
        <f>SUM(J645:J646)</f>
        <v>83167</v>
      </c>
      <c r="K647" s="2002"/>
      <c r="L647" s="1889"/>
      <c r="M647" s="2002">
        <f>SUM(M645:M646)</f>
        <v>0</v>
      </c>
      <c r="N647" s="2002"/>
      <c r="P647" s="2002">
        <f>SUM(P645:P646)</f>
        <v>0</v>
      </c>
      <c r="Q647" s="2002"/>
      <c r="S647" s="2002">
        <f>SUM(S645:S646)</f>
        <v>249499</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7105</v>
      </c>
      <c r="E649" s="2009"/>
      <c r="F649" s="2062"/>
      <c r="G649" s="2002">
        <f>G521+G527+G531+G539+G544+G549+G558+G576+G589+G595+G606+G617+G623+G630+G638+G647</f>
        <v>18857416.83068594</v>
      </c>
      <c r="H649" s="2002"/>
      <c r="J649" s="2002">
        <f>J521+J527+J531+J539+J544+J549+J558+J576+J589+J595+J606+J617+J623+J630+J638+J647</f>
        <v>16463128.724996436</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2394288.1056895051</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7034</v>
      </c>
      <c r="C651" s="2021"/>
      <c r="D651" s="2063">
        <f>IF('Part VI-Revenues &amp; Expenses'!$P$67=0,0,G649/'Part VI-Revenues &amp; Expenses'!$P$67)</f>
        <v>198499.1245335362</v>
      </c>
      <c r="E651" s="2063"/>
      <c r="F651" s="2057" t="s">
        <v>2593</v>
      </c>
      <c r="G651" s="2063">
        <f>IF('Part I-Project Information'!$P$70=0,0,G649/'Part I-Project Information'!$P$70)</f>
        <v>241.29772016232809</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3342</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16463128.724996436</v>
      </c>
      <c r="K665" s="1982"/>
      <c r="M665" s="1982">
        <f>M649</f>
        <v>0</v>
      </c>
      <c r="N665" s="1982"/>
      <c r="P665" s="1982">
        <f>P649</f>
        <v>0</v>
      </c>
      <c r="Q665" s="1982"/>
      <c r="R665" s="2067" t="s">
        <v>3930</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16463128.724996436</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16463128.724996436</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16463128.724996436</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2424</v>
      </c>
      <c r="J673" s="1982">
        <f>J671*J672</f>
        <v>1481681.5852496792</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1481681</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4126</v>
      </c>
      <c r="H678" s="2073"/>
      <c r="I678" s="2073"/>
      <c r="M678" s="2074"/>
      <c r="O678" s="1868"/>
      <c r="P678" s="1868"/>
      <c r="Q678" s="1868"/>
      <c r="R678" s="1868"/>
      <c r="S678" s="1868"/>
      <c r="T678" s="1868"/>
      <c r="U678" s="1868"/>
      <c r="V678" s="1868"/>
    </row>
    <row r="679" spans="1:52" s="1937" customFormat="1" ht="15" customHeight="1">
      <c r="B679" s="1937" t="s">
        <v>7106</v>
      </c>
      <c r="J679" s="2075">
        <f>G649</f>
        <v>18857416.83068594</v>
      </c>
      <c r="K679" s="2075"/>
      <c r="L679" s="2075"/>
      <c r="V679" s="2076"/>
      <c r="W679" s="2077"/>
    </row>
    <row r="680" spans="1:52" s="1937" customFormat="1" ht="13.5" customHeight="1">
      <c r="B680" s="1937" t="s">
        <v>4130</v>
      </c>
      <c r="J680" s="2075">
        <f>'Part IV-A-Uses of Funds'!$G$92+'Part IV-A-Uses of Funds'!$G$114+SUM('Part IV-A-Uses of Funds'!$G$130:$H$132)</f>
        <v>1206503.630689505</v>
      </c>
      <c r="K680" s="2075"/>
      <c r="L680" s="2075"/>
      <c r="V680" s="2076"/>
      <c r="W680" s="2077"/>
    </row>
    <row r="681" spans="1:52" s="1937" customFormat="1" ht="13.5" customHeight="1">
      <c r="B681" s="1935" t="s">
        <v>4129</v>
      </c>
      <c r="J681" s="2075">
        <f>J679-J680</f>
        <v>17650913.199996434</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21140766.649999999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4131</v>
      </c>
      <c r="J685" s="1894">
        <f>'Part IV-A-Uses of Funds'!J182</f>
        <v>18857416.83068594</v>
      </c>
      <c r="K685" s="1894"/>
      <c r="L685" s="1894"/>
      <c r="M685" s="2067" t="s">
        <v>4142</v>
      </c>
      <c r="N685" s="2067"/>
      <c r="O685" s="2067"/>
      <c r="P685" s="2067"/>
      <c r="Q685" s="2067"/>
      <c r="R685" s="2067"/>
      <c r="S685" s="2067" t="s">
        <v>3313</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3000000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15857416.83068594</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1585741.683068594</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7035</v>
      </c>
      <c r="J691" s="2082">
        <f>N691+Q691</f>
        <v>1.5499999999999998</v>
      </c>
      <c r="K691" s="2082"/>
      <c r="L691" s="2082"/>
      <c r="M691" s="1857" t="s">
        <v>1241</v>
      </c>
      <c r="N691" s="2083">
        <f>'Part IV-A-Uses of Funds'!N188</f>
        <v>0.95</v>
      </c>
      <c r="O691" s="2083"/>
      <c r="P691" s="1857" t="s">
        <v>583</v>
      </c>
      <c r="Q691" s="2083">
        <f>'Part IV-A-Uses of Funds'!Q188</f>
        <v>0.6</v>
      </c>
      <c r="R691" s="2083"/>
      <c r="V691" s="2004"/>
      <c r="W691" s="2005"/>
      <c r="X691" s="2005"/>
      <c r="AZ691" s="1937"/>
    </row>
    <row r="692" spans="1:52" s="1856" customFormat="1" ht="14.1" customHeight="1">
      <c r="B692" s="1856" t="s">
        <v>1374</v>
      </c>
      <c r="J692" s="1982">
        <f>ROUNDDOWN(IF(J691=0,"",J689/J691),0)</f>
        <v>1023059</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4127</v>
      </c>
      <c r="H694" s="2059"/>
      <c r="I694" s="2059"/>
      <c r="M694" s="2072"/>
      <c r="Q694" s="1864" t="s">
        <v>6538</v>
      </c>
      <c r="R694" s="1864"/>
      <c r="S694" s="1864" t="str">
        <f>'Part I-Project Information'!$H$105</f>
        <v>Atlanta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7107</v>
      </c>
      <c r="J696" s="1894">
        <f>'Part IV-A-Uses of Funds'!J193</f>
        <v>1000000</v>
      </c>
      <c r="K696" s="1894"/>
      <c r="L696" s="1894"/>
      <c r="M696" s="1865"/>
      <c r="Q696" s="1967" t="s">
        <v>367</v>
      </c>
      <c r="R696" s="1864"/>
      <c r="S696" s="1864" t="str">
        <f>'Part IX Scoring Criteria'!$M$43</f>
        <v>New Supply</v>
      </c>
      <c r="T696" s="1864"/>
      <c r="U696" s="1857" t="str">
        <f>IF(OR(S694="Atlanta Metro", "Other Metro"), "Metro", IF(S694="Rural","Rural",""))</f>
        <v>Metro</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7036</v>
      </c>
      <c r="J698" s="1894">
        <f>'Part IV-A-Uses of Funds'!J195</f>
        <v>1000000</v>
      </c>
      <c r="K698" s="1894"/>
      <c r="L698" s="1894"/>
      <c r="M698" s="1907" t="str">
        <f>IF(J696=0,"",IF(J698&gt;J696,"Request can't exceed Maximum - REVISE (Try Round Down)!",""))</f>
        <v/>
      </c>
      <c r="N698" s="1907"/>
      <c r="O698" s="1907"/>
      <c r="P698" s="1907"/>
      <c r="Q698" s="1967" t="s">
        <v>4115</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7108</v>
      </c>
      <c r="D700" s="1865"/>
      <c r="E700" s="1865"/>
      <c r="F700" s="1858"/>
      <c r="J700" s="1982">
        <f>IF(J698="",0,+MIN(J696,J698))</f>
        <v>1000000</v>
      </c>
      <c r="K700" s="1982"/>
      <c r="L700" s="1982"/>
      <c r="M700" s="1907"/>
      <c r="N700" s="1907"/>
      <c r="O700" s="1907"/>
      <c r="P700" s="1907"/>
      <c r="Q700" s="1864" t="s">
        <v>6539</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The construction costs were determined based on guidance from our proposed General Contractor and estimated pricing at the time of start of construction.  The demolition (6 one story buildings) and remediation costs are included in the construction estimate line item row #30.  Construction Loan Interest was calculated based on the projected flow of funds.  Local government fees were confirmed by the local government.  Charts with the fee breakdown are provided by the of the City of Roswell that were utilized in estimating the costs.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2021-018 - Roswell Redevelopment Phase I  -  Roswell  -  Fulton,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3344</v>
      </c>
      <c r="B710" s="2089"/>
      <c r="C710" s="2089"/>
      <c r="D710" s="2089"/>
      <c r="E710" s="2089"/>
      <c r="F710" s="2089"/>
      <c r="G710" s="2089"/>
      <c r="H710" s="2089"/>
    </row>
    <row r="711" spans="1:14" s="2088" customFormat="1" ht="6" customHeight="1"/>
    <row r="712" spans="1:14" s="2088" customFormat="1" ht="38.25" customHeight="1">
      <c r="A712" s="2090" t="s">
        <v>7037</v>
      </c>
      <c r="B712" s="2090"/>
      <c r="C712" s="2090"/>
      <c r="D712" s="2090"/>
      <c r="F712" s="2091" t="s">
        <v>3335</v>
      </c>
      <c r="G712" s="2087"/>
      <c r="H712" s="2091" t="s">
        <v>3336</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3338</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3338</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3338</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3337</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3338</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Construction Lender Due Diligence Fees</v>
      </c>
      <c r="B738" s="2095"/>
      <c r="C738" s="2095"/>
      <c r="D738" s="2095"/>
      <c r="E738" s="2094"/>
      <c r="F738" s="2096" t="str">
        <f>'Part IV-B-Other Items'!F31</f>
        <v>Construction due dligence for third party studies and other due diligence.</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3338</v>
      </c>
      <c r="B741" s="2098">
        <f>'Part IV-A-Uses of Funds'!$G$71</f>
        <v>15000</v>
      </c>
      <c r="C741" s="2097" t="s">
        <v>1710</v>
      </c>
      <c r="D741" s="2098">
        <f>'Part IV-A-Uses of Funds'!$J$71+'Part IV-A-Uses of Funds'!$M$71+'Part IV-A-Uses of Funds'!$P$71</f>
        <v>15000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3338</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Utilities: Transformer &amp; Site Lighting</v>
      </c>
      <c r="B749" s="2095"/>
      <c r="C749" s="2095"/>
      <c r="D749" s="2095"/>
      <c r="F749" s="2096" t="str">
        <f>'Part IV-B-Other Items'!F42</f>
        <v>Amount to purchase transformer and site lighting to bring power to the site and meet DCA standards for site lighting</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3338</v>
      </c>
      <c r="B752" s="2098">
        <f>'Part IV-A-Uses of Funds'!$G$85</f>
        <v>30000</v>
      </c>
      <c r="C752" s="2097" t="s">
        <v>1710</v>
      </c>
      <c r="D752" s="2098">
        <f>'Part IV-A-Uses of Funds'!$J$85+'Part IV-A-Uses of Funds'!$M$85+'Part IV-A-Uses of Funds'!$P$85</f>
        <v>30000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3338</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7038</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3338</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3338</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7039</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3338</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3338</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7040</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3338</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2021-018 Roswell Redevelopment Phase I,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3825</v>
      </c>
      <c r="I794" s="2105" t="str">
        <f>VLOOKUP('Part I-Project Information'!$J$40,'DCA Underwriting Assumptions'!$G$174:$H$333,2)</f>
        <v>Local PHA</v>
      </c>
    </row>
    <row r="795" spans="1:25" s="1852" customFormat="1" ht="6" customHeight="1"/>
    <row r="796" spans="1:25" s="1852" customFormat="1" ht="12.75" customHeight="1">
      <c r="A796" s="2106" t="s">
        <v>7109</v>
      </c>
      <c r="O796" s="1856" t="s">
        <v>7110</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Georgia DCA North 2021 DCA</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3.42</v>
      </c>
      <c r="K803" s="2110">
        <f>'Part V-Utility Allowances'!K12</f>
        <v>5.92</v>
      </c>
      <c r="L803" s="2110">
        <f>'Part V-Utility Allowances'!L12</f>
        <v>6.75</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1.75</v>
      </c>
      <c r="K804" s="2110">
        <f>'Part V-Utility Allowances'!K13</f>
        <v>1.92</v>
      </c>
      <c r="L804" s="2110">
        <f>'Part V-Utility Allowances'!L13</f>
        <v>2.17</v>
      </c>
      <c r="M804" s="2110">
        <f>'Part V-Utility Allowances'!M13</f>
        <v>0</v>
      </c>
      <c r="O804" s="1818" t="s">
        <v>7041</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6.58</v>
      </c>
      <c r="K805" s="2110">
        <f>'Part V-Utility Allowances'!K14</f>
        <v>8.75</v>
      </c>
      <c r="L805" s="2110">
        <f>'Part V-Utility Allowances'!L14</f>
        <v>10.92</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3.83</v>
      </c>
      <c r="K806" s="2110">
        <f>'Part V-Utility Allowances'!K15</f>
        <v>4.5</v>
      </c>
      <c r="L806" s="2110">
        <f>'Part V-Utility Allowances'!L15</f>
        <v>5.25</v>
      </c>
      <c r="M806" s="2110">
        <f>'Part V-Utility Allowances'!M15</f>
        <v>0</v>
      </c>
      <c r="O806" s="1818"/>
      <c r="P806" s="1818"/>
      <c r="Q806" s="1818"/>
    </row>
    <row r="807" spans="1:25" s="1852" customFormat="1" ht="12" customHeight="1">
      <c r="B807" s="1818" t="s">
        <v>3404</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3405</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3406</v>
      </c>
      <c r="C809" s="1818"/>
      <c r="D809" s="1818" t="s">
        <v>1530</v>
      </c>
      <c r="F809" s="2109" t="str">
        <f>'Part V-Utility Allowances'!F18</f>
        <v>X</v>
      </c>
      <c r="G809" s="2109">
        <f>'Part V-Utility Allowances'!G18</f>
        <v>0</v>
      </c>
      <c r="I809" s="2110">
        <f>'Part V-Utility Allowances'!I18</f>
        <v>0</v>
      </c>
      <c r="J809" s="2110">
        <f>'Part V-Utility Allowances'!J18</f>
        <v>50.55</v>
      </c>
      <c r="K809" s="2110">
        <f>'Part V-Utility Allowances'!K18</f>
        <v>59.98</v>
      </c>
      <c r="L809" s="2110">
        <f>'Part V-Utility Allowances'!L18</f>
        <v>68.13</v>
      </c>
      <c r="M809" s="2110">
        <f>'Part V-Utility Allowances'!M18</f>
        <v>0</v>
      </c>
      <c r="O809" s="1818"/>
      <c r="P809" s="1818"/>
      <c r="Q809" s="1818"/>
    </row>
    <row r="810" spans="1:25" s="1852" customFormat="1" ht="12" customHeight="1">
      <c r="B810" s="1818" t="s">
        <v>1321</v>
      </c>
      <c r="C810" s="1818"/>
      <c r="D810" s="1818" t="s">
        <v>6841</v>
      </c>
      <c r="E810" s="2110" t="str">
        <f>'Part V-Utility Allowances'!E19</f>
        <v>Yes</v>
      </c>
      <c r="F810" s="2109">
        <f>'Part V-Utility Allowances'!F19</f>
        <v>0</v>
      </c>
      <c r="G810" s="2109" t="str">
        <f>'Part V-Utility Allowances'!G19</f>
        <v>X</v>
      </c>
      <c r="I810" s="2110">
        <f>'Part V-Utility Allowances'!I19</f>
        <v>0</v>
      </c>
      <c r="J810" s="2110">
        <f>'Part V-Utility Allowances'!J19</f>
        <v>28.78</v>
      </c>
      <c r="K810" s="2110">
        <f>'Part V-Utility Allowances'!K19</f>
        <v>43.18</v>
      </c>
      <c r="L810" s="2110">
        <f>'Part V-Utility Allowances'!L19</f>
        <v>57.570000000000007</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t="str">
        <f>'Part V-Utility Allowances'!C21</f>
        <v>Water &amp; Sewer Service Charge</v>
      </c>
      <c r="D812" s="2111"/>
      <c r="E812" s="2111"/>
      <c r="F812" s="2109">
        <f>'Part V-Utility Allowances'!F21</f>
        <v>0</v>
      </c>
      <c r="G812" s="2109" t="str">
        <f>'Part V-Utility Allowances'!G21</f>
        <v>X</v>
      </c>
      <c r="I812" s="2110">
        <f>'Part V-Utility Allowances'!I21</f>
        <v>0</v>
      </c>
      <c r="J812" s="2110">
        <f>'Part V-Utility Allowances'!J21</f>
        <v>14.31</v>
      </c>
      <c r="K812" s="2110">
        <f>'Part V-Utility Allowances'!K21</f>
        <v>14.31</v>
      </c>
      <c r="L812" s="2110">
        <f>'Part V-Utility Allowances'!L21</f>
        <v>14.31</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109.22</v>
      </c>
      <c r="K813" s="2108">
        <f>IF(SUM(K803:K812)=0,0,IF(OR($D803="&lt;&lt;Select Fuel &gt;&gt;",$D804="&lt;&lt;Select Fuel &gt;&gt;",$D805="&lt;&lt;Select Fuel &gt;&gt;"),"Select Fuel",IF($E810="&lt;Select&gt;","Submeter?",SUM(K803:K812))))</f>
        <v>138.56</v>
      </c>
      <c r="L813" s="2108">
        <f>IF(SUM(L803:L812)=0,0,IF(OR($D803="&lt;&lt;Select Fuel &gt;&gt;",$D804="&lt;&lt;Select Fuel &gt;&gt;",$D805="&lt;&lt;Select Fuel &gt;&gt;"),"Select Fuel",IF($E810="&lt;Select&gt;","Submeter?",SUM(L803:L812))))</f>
        <v>165.10000000000002</v>
      </c>
      <c r="M813" s="2108">
        <f>IF(SUM(M803:M812)=0,0,IF(OR($D803="&lt;&lt;Select Fuel &gt;&gt;",$D804="&lt;&lt;Select Fuel &gt;&gt;",$D805="&lt;&lt;Select Fuel &gt;&gt;"),"Select Fuel",IF($E810="&lt;Select&gt;","Submeter?",SUM(M803:M812))))</f>
        <v>0</v>
      </c>
    </row>
    <row r="814" spans="1:25" s="1852" customFormat="1" ht="7.5" customHeight="1">
      <c r="O814" s="1856" t="s">
        <v>7110</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7041</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3404</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3405</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3406</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6841</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6842</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 xml:space="preserve">Included in our Application is a Utility Analysis Study by Dominion Due Diligence Group.  The current utilities for the existing RAD units include Gas.  The Roswell Redevelopment Phase I will be all electric, no gas.  Residents will pay the unit electric costs and the property will Trash, Water and Sewer.  </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2021-018 Roswell Redevelopment Phase I, ,  County</v>
      </c>
      <c r="T842" s="1818" t="str">
        <f>A842</f>
        <v>PART SIX - PROJECTED REVENUES &amp; EXPENSES  -  2021-018 Roswell Redevelopment Phase I,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6307</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7111</v>
      </c>
      <c r="R845" s="2488"/>
      <c r="X845" s="2114" t="s">
        <v>3834</v>
      </c>
      <c r="Y845" s="2114" t="s">
        <v>3835</v>
      </c>
      <c r="Z845" s="2114" t="s">
        <v>3836</v>
      </c>
      <c r="AA845" s="2114" t="s">
        <v>3837</v>
      </c>
      <c r="AB845" s="2114" t="s">
        <v>3838</v>
      </c>
      <c r="AC845" s="2114" t="s">
        <v>3839</v>
      </c>
      <c r="AD845" s="2114" t="s">
        <v>3840</v>
      </c>
      <c r="AE845" s="2114" t="s">
        <v>3841</v>
      </c>
      <c r="AF845" s="2114" t="s">
        <v>3842</v>
      </c>
      <c r="AG845" s="2114" t="s">
        <v>3843</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3845</v>
      </c>
      <c r="AS845" s="2114" t="s">
        <v>3846</v>
      </c>
      <c r="AT845" s="2114" t="s">
        <v>3847</v>
      </c>
      <c r="AU845" s="2114" t="s">
        <v>3848</v>
      </c>
      <c r="AV845" s="2114" t="s">
        <v>3844</v>
      </c>
      <c r="AW845" s="2114" t="s">
        <v>887</v>
      </c>
      <c r="AX845" s="2114" t="s">
        <v>2210</v>
      </c>
      <c r="AY845" s="2114" t="s">
        <v>2211</v>
      </c>
      <c r="AZ845" s="2114" t="s">
        <v>2212</v>
      </c>
      <c r="BA845" s="2114" t="s">
        <v>2213</v>
      </c>
      <c r="BB845" s="2114" t="s">
        <v>3849</v>
      </c>
      <c r="BC845" s="2114" t="s">
        <v>3850</v>
      </c>
      <c r="BD845" s="2114" t="s">
        <v>3851</v>
      </c>
      <c r="BE845" s="2114" t="s">
        <v>3852</v>
      </c>
      <c r="BF845" s="2114" t="s">
        <v>3853</v>
      </c>
      <c r="BG845" s="2114" t="s">
        <v>122</v>
      </c>
      <c r="BH845" s="2114" t="s">
        <v>2214</v>
      </c>
      <c r="BI845" s="2114" t="s">
        <v>2215</v>
      </c>
      <c r="BJ845" s="2114" t="s">
        <v>2216</v>
      </c>
      <c r="BK845" s="2114" t="s">
        <v>1106</v>
      </c>
      <c r="BL845" s="2114" t="s">
        <v>3854</v>
      </c>
      <c r="BM845" s="2114" t="s">
        <v>3855</v>
      </c>
      <c r="BN845" s="2114" t="s">
        <v>3856</v>
      </c>
      <c r="BO845" s="2114" t="s">
        <v>3857</v>
      </c>
      <c r="BP845" s="2114" t="s">
        <v>3858</v>
      </c>
      <c r="BQ845" s="2114" t="s">
        <v>529</v>
      </c>
      <c r="BR845" s="2114" t="s">
        <v>530</v>
      </c>
      <c r="BS845" s="2114" t="s">
        <v>548</v>
      </c>
      <c r="BT845" s="2114" t="s">
        <v>549</v>
      </c>
      <c r="BU845" s="2114" t="s">
        <v>550</v>
      </c>
      <c r="BV845" s="2114" t="s">
        <v>3859</v>
      </c>
      <c r="BW845" s="2114" t="s">
        <v>3860</v>
      </c>
      <c r="BX845" s="2114" t="s">
        <v>3861</v>
      </c>
      <c r="BY845" s="2114" t="s">
        <v>3862</v>
      </c>
      <c r="BZ845" s="2114" t="s">
        <v>3863</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3869</v>
      </c>
      <c r="CL845" s="2114" t="s">
        <v>3870</v>
      </c>
      <c r="CM845" s="2114" t="s">
        <v>3871</v>
      </c>
      <c r="CN845" s="2114" t="s">
        <v>3872</v>
      </c>
      <c r="CO845" s="2114" t="s">
        <v>3873</v>
      </c>
      <c r="CP845" s="2114" t="s">
        <v>3864</v>
      </c>
      <c r="CQ845" s="2114" t="s">
        <v>3865</v>
      </c>
      <c r="CR845" s="2114" t="s">
        <v>3866</v>
      </c>
      <c r="CS845" s="2114" t="s">
        <v>3867</v>
      </c>
      <c r="CT845" s="2114" t="s">
        <v>3868</v>
      </c>
      <c r="CU845" s="2114" t="s">
        <v>3874</v>
      </c>
      <c r="CV845" s="2114" t="s">
        <v>3875</v>
      </c>
      <c r="CW845" s="2114" t="s">
        <v>3876</v>
      </c>
      <c r="CX845" s="2114" t="s">
        <v>3877</v>
      </c>
      <c r="CY845" s="2114" t="s">
        <v>3878</v>
      </c>
      <c r="CZ845" s="2114" t="s">
        <v>474</v>
      </c>
      <c r="DA845" s="2114" t="s">
        <v>475</v>
      </c>
      <c r="DB845" s="2114" t="s">
        <v>476</v>
      </c>
      <c r="DC845" s="2114" t="s">
        <v>477</v>
      </c>
      <c r="DD845" s="2114" t="s">
        <v>478</v>
      </c>
      <c r="DE845" s="2114" t="s">
        <v>3879</v>
      </c>
      <c r="DF845" s="2114" t="s">
        <v>3880</v>
      </c>
      <c r="DG845" s="2114" t="s">
        <v>3881</v>
      </c>
      <c r="DH845" s="2114" t="s">
        <v>3882</v>
      </c>
      <c r="DI845" s="2114" t="s">
        <v>3883</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3884</v>
      </c>
      <c r="DU845" s="2114" t="s">
        <v>3885</v>
      </c>
      <c r="DV845" s="2114" t="s">
        <v>3886</v>
      </c>
      <c r="DW845" s="2114" t="s">
        <v>3887</v>
      </c>
      <c r="DX845" s="2114" t="s">
        <v>3888</v>
      </c>
      <c r="DY845" s="2114" t="s">
        <v>3889</v>
      </c>
      <c r="DZ845" s="2114" t="s">
        <v>3890</v>
      </c>
      <c r="EA845" s="2114" t="s">
        <v>3891</v>
      </c>
      <c r="EB845" s="2114" t="s">
        <v>3892</v>
      </c>
      <c r="EC845" s="2114" t="s">
        <v>3893</v>
      </c>
      <c r="ED845" s="2114" t="s">
        <v>2319</v>
      </c>
      <c r="EE845" s="2114" t="s">
        <v>2320</v>
      </c>
      <c r="EF845" s="2114" t="s">
        <v>2321</v>
      </c>
      <c r="EG845" s="2114" t="s">
        <v>2322</v>
      </c>
      <c r="EH845" s="2114" t="s">
        <v>2323</v>
      </c>
      <c r="EI845" s="2114" t="s">
        <v>3894</v>
      </c>
      <c r="EJ845" s="2114" t="s">
        <v>3895</v>
      </c>
      <c r="EK845" s="2114" t="s">
        <v>3896</v>
      </c>
      <c r="EL845" s="2114" t="s">
        <v>3897</v>
      </c>
      <c r="EM845" s="2114" t="s">
        <v>3898</v>
      </c>
      <c r="EN845" s="2114" t="s">
        <v>3899</v>
      </c>
      <c r="EO845" s="2114" t="s">
        <v>3900</v>
      </c>
      <c r="EP845" s="2114" t="s">
        <v>3901</v>
      </c>
      <c r="EQ845" s="2114" t="s">
        <v>3902</v>
      </c>
      <c r="ER845" s="2114" t="s">
        <v>3903</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3904</v>
      </c>
      <c r="FD845" s="2114" t="s">
        <v>3905</v>
      </c>
      <c r="FE845" s="2114" t="s">
        <v>3906</v>
      </c>
      <c r="FF845" s="2114" t="s">
        <v>3907</v>
      </c>
      <c r="FG845" s="2114" t="s">
        <v>3908</v>
      </c>
      <c r="FH845" s="2114" t="s">
        <v>124</v>
      </c>
      <c r="FI845" s="2114" t="s">
        <v>877</v>
      </c>
      <c r="FJ845" s="2114" t="s">
        <v>878</v>
      </c>
      <c r="FK845" s="2114" t="s">
        <v>879</v>
      </c>
      <c r="FL845" s="2114" t="s">
        <v>880</v>
      </c>
      <c r="FM845" s="2114" t="s">
        <v>3909</v>
      </c>
      <c r="FN845" s="2114" t="s">
        <v>3910</v>
      </c>
      <c r="FO845" s="2114" t="s">
        <v>3911</v>
      </c>
      <c r="FP845" s="2114" t="s">
        <v>3912</v>
      </c>
      <c r="FQ845" s="2114" t="s">
        <v>3913</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7112</v>
      </c>
      <c r="D846" s="1905"/>
      <c r="E846" s="1905"/>
      <c r="F846" s="1905"/>
      <c r="G846" s="2110" t="str">
        <f>'Part VI-Revenues &amp; Expenses'!G6</f>
        <v>&lt;Select&gt;</v>
      </c>
      <c r="H846" s="2119" t="s">
        <v>6310</v>
      </c>
      <c r="I846" s="2119"/>
      <c r="J846" s="2119"/>
      <c r="K846" s="2117" t="s">
        <v>3256</v>
      </c>
      <c r="L846" s="2120" t="str">
        <f>'Part I-Project Information'!$B$7</f>
        <v>2021 Core App
May 10 Rev</v>
      </c>
      <c r="M846" s="2120"/>
      <c r="N846" s="2120"/>
      <c r="O846" s="2121" t="s">
        <v>7042</v>
      </c>
      <c r="P846" s="2122">
        <f>'Part VI-Revenues &amp; Expenses'!P6</f>
        <v>86200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6584</v>
      </c>
      <c r="MQ846" s="2114" t="s">
        <v>6585</v>
      </c>
      <c r="MR846" s="2114" t="s">
        <v>6586</v>
      </c>
      <c r="MS846" s="2114" t="s">
        <v>6587</v>
      </c>
      <c r="MT846" s="2114" t="s">
        <v>6588</v>
      </c>
      <c r="NP846" s="2113"/>
    </row>
    <row r="847" spans="1:380" s="1818" customFormat="1" ht="12.6" customHeight="1">
      <c r="A847" s="2118"/>
      <c r="B847" s="2123" t="s">
        <v>6309</v>
      </c>
      <c r="G847" s="2110" t="str">
        <f>'Part VI-Revenues &amp; Expenses'!G7</f>
        <v>Yes</v>
      </c>
      <c r="I847" s="1719" t="s">
        <v>4276</v>
      </c>
      <c r="J847" s="2117" t="s">
        <v>765</v>
      </c>
      <c r="K847" s="2117" t="s">
        <v>3306</v>
      </c>
      <c r="L847" s="2120"/>
      <c r="M847" s="2120"/>
      <c r="N847" s="2120"/>
      <c r="O847" s="2124" t="s">
        <v>6285</v>
      </c>
      <c r="P847" s="2125">
        <f>'Part VI-Revenues &amp; Expenses'!P7</f>
        <v>44287</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3916</v>
      </c>
      <c r="I848" s="1719"/>
      <c r="J848" s="2117" t="s">
        <v>766</v>
      </c>
      <c r="K848" s="2117" t="s">
        <v>3307</v>
      </c>
      <c r="N848" s="2126" t="s">
        <v>6804</v>
      </c>
      <c r="O848" s="1942" t="str">
        <f>'Part VI-Revenues &amp; Expenses'!O8</f>
        <v>Novogradac Rent &amp; Income Calculator</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3917</v>
      </c>
      <c r="C849" s="2117" t="s">
        <v>164</v>
      </c>
      <c r="D849" s="2117" t="s">
        <v>519</v>
      </c>
      <c r="E849" s="2117" t="s">
        <v>1417</v>
      </c>
      <c r="F849" s="2117" t="s">
        <v>1417</v>
      </c>
      <c r="G849" s="1719" t="s">
        <v>6305</v>
      </c>
      <c r="H849" s="2488" t="s">
        <v>3440</v>
      </c>
      <c r="I849" s="1719"/>
      <c r="J849" s="2127" t="s">
        <v>6296</v>
      </c>
      <c r="K849" s="2117" t="s">
        <v>7113</v>
      </c>
      <c r="L849" s="1719" t="s">
        <v>138</v>
      </c>
      <c r="M849" s="1719"/>
      <c r="N849" s="2117" t="s">
        <v>2262</v>
      </c>
      <c r="O849" s="2117" t="s">
        <v>6807</v>
      </c>
      <c r="P849" s="2114" t="s">
        <v>7114</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6589</v>
      </c>
      <c r="IZ849" s="2114" t="s">
        <v>6589</v>
      </c>
      <c r="JA849" s="2114" t="s">
        <v>6589</v>
      </c>
      <c r="JB849" s="2114" t="s">
        <v>6589</v>
      </c>
      <c r="JC849" s="2114" t="s">
        <v>6589</v>
      </c>
      <c r="JD849" s="2114" t="s">
        <v>6590</v>
      </c>
      <c r="JE849" s="2114" t="s">
        <v>6590</v>
      </c>
      <c r="JF849" s="2114" t="s">
        <v>6590</v>
      </c>
      <c r="JG849" s="2114" t="s">
        <v>6590</v>
      </c>
      <c r="JH849" s="2114" t="s">
        <v>6590</v>
      </c>
      <c r="JI849" s="2114" t="s">
        <v>6592</v>
      </c>
      <c r="JJ849" s="2114" t="s">
        <v>6592</v>
      </c>
      <c r="JK849" s="2114" t="s">
        <v>6592</v>
      </c>
      <c r="JL849" s="2114" t="s">
        <v>6592</v>
      </c>
      <c r="JM849" s="2114" t="s">
        <v>6592</v>
      </c>
      <c r="JN849" s="2114" t="s">
        <v>6593</v>
      </c>
      <c r="JO849" s="2114" t="s">
        <v>6593</v>
      </c>
      <c r="JP849" s="2114" t="s">
        <v>6593</v>
      </c>
      <c r="JQ849" s="2114" t="s">
        <v>6593</v>
      </c>
      <c r="JR849" s="2114" t="s">
        <v>6593</v>
      </c>
      <c r="JS849" s="2114" t="s">
        <v>6594</v>
      </c>
      <c r="JT849" s="2114" t="s">
        <v>6594</v>
      </c>
      <c r="JU849" s="2114" t="s">
        <v>6594</v>
      </c>
      <c r="JV849" s="2114" t="s">
        <v>6594</v>
      </c>
      <c r="JW849" s="2114" t="s">
        <v>6594</v>
      </c>
      <c r="JX849" s="2114" t="s">
        <v>6808</v>
      </c>
      <c r="JY849" s="2114" t="s">
        <v>6808</v>
      </c>
      <c r="JZ849" s="2114" t="s">
        <v>6808</v>
      </c>
      <c r="KA849" s="2114" t="s">
        <v>6808</v>
      </c>
      <c r="KB849" s="2114" t="s">
        <v>6808</v>
      </c>
      <c r="KC849" s="2114" t="s">
        <v>7043</v>
      </c>
      <c r="KD849" s="2114" t="s">
        <v>7043</v>
      </c>
      <c r="KE849" s="2114" t="s">
        <v>7043</v>
      </c>
      <c r="KF849" s="2114" t="s">
        <v>7043</v>
      </c>
      <c r="KG849" s="2114" t="s">
        <v>7043</v>
      </c>
      <c r="KH849" s="2114" t="s">
        <v>7044</v>
      </c>
      <c r="KI849" s="2114" t="s">
        <v>7044</v>
      </c>
      <c r="KJ849" s="2114" t="s">
        <v>7044</v>
      </c>
      <c r="KK849" s="2114" t="s">
        <v>7044</v>
      </c>
      <c r="KL849" s="2114" t="s">
        <v>7044</v>
      </c>
      <c r="KM849" s="2114" t="s">
        <v>6596</v>
      </c>
      <c r="KN849" s="2114" t="s">
        <v>6596</v>
      </c>
      <c r="KO849" s="2114" t="s">
        <v>6596</v>
      </c>
      <c r="KP849" s="2114" t="s">
        <v>6596</v>
      </c>
      <c r="KQ849" s="2114" t="s">
        <v>6596</v>
      </c>
      <c r="KR849" s="2114" t="s">
        <v>6809</v>
      </c>
      <c r="KS849" s="2114" t="s">
        <v>6809</v>
      </c>
      <c r="KT849" s="2114" t="s">
        <v>6809</v>
      </c>
      <c r="KU849" s="2114" t="s">
        <v>6809</v>
      </c>
      <c r="KV849" s="2114" t="s">
        <v>6809</v>
      </c>
      <c r="KW849" s="2114" t="s">
        <v>7045</v>
      </c>
      <c r="KX849" s="2114" t="s">
        <v>7045</v>
      </c>
      <c r="KY849" s="2114" t="s">
        <v>7045</v>
      </c>
      <c r="KZ849" s="2114" t="s">
        <v>7045</v>
      </c>
      <c r="LA849" s="2114" t="s">
        <v>7045</v>
      </c>
      <c r="LB849" s="2114" t="s">
        <v>7046</v>
      </c>
      <c r="LC849" s="2114" t="s">
        <v>7046</v>
      </c>
      <c r="LD849" s="2114" t="s">
        <v>7046</v>
      </c>
      <c r="LE849" s="2114" t="s">
        <v>7046</v>
      </c>
      <c r="LF849" s="2114" t="s">
        <v>7046</v>
      </c>
      <c r="MK849" s="1719"/>
      <c r="ML849" s="1719"/>
      <c r="MM849" s="1719"/>
      <c r="MN849" s="1719"/>
      <c r="MO849" s="1719"/>
      <c r="NP849" s="1926"/>
    </row>
    <row r="850" spans="1:380" s="2114" customFormat="1" ht="11.25" customHeight="1">
      <c r="A850" s="2118"/>
      <c r="B850" s="2128" t="s">
        <v>4124</v>
      </c>
      <c r="C850" s="2117" t="s">
        <v>163</v>
      </c>
      <c r="D850" s="2117" t="s">
        <v>165</v>
      </c>
      <c r="E850" s="2117" t="s">
        <v>1418</v>
      </c>
      <c r="F850" s="2117" t="s">
        <v>1231</v>
      </c>
      <c r="G850" s="1719"/>
      <c r="H850" s="2117" t="s">
        <v>6306</v>
      </c>
      <c r="I850" s="1719"/>
      <c r="J850" s="2127"/>
      <c r="K850" s="2129" t="s">
        <v>338</v>
      </c>
      <c r="L850" s="2117" t="s">
        <v>1469</v>
      </c>
      <c r="M850" s="2117" t="s">
        <v>513</v>
      </c>
      <c r="N850" s="2117" t="s">
        <v>1417</v>
      </c>
      <c r="O850" s="2117" t="s">
        <v>6824</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6716</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6717</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6718</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6719</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6720</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6721</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6722</v>
      </c>
    </row>
    <row r="858" spans="1:380" s="1852" customFormat="1" ht="13.9" customHeight="1">
      <c r="A858" s="2108" t="str">
        <f t="shared" si="327"/>
        <v/>
      </c>
      <c r="B858" s="2130">
        <f>'Part VI-Revenues &amp; Expenses'!B18</f>
        <v>30</v>
      </c>
      <c r="C858" s="2131">
        <f>'Part VI-Revenues &amp; Expenses'!C18</f>
        <v>1</v>
      </c>
      <c r="D858" s="2132">
        <f>'Part VI-Revenues &amp; Expenses'!D18</f>
        <v>1</v>
      </c>
      <c r="E858" s="2133">
        <f>'Part VI-Revenues &amp; Expenses'!E18</f>
        <v>10</v>
      </c>
      <c r="F858" s="2133">
        <f>'Part VI-Revenues &amp; Expenses'!F18</f>
        <v>650</v>
      </c>
      <c r="G858" s="2133">
        <f>'Part VI-Revenues &amp; Expenses'!G18</f>
        <v>485</v>
      </c>
      <c r="H858" s="2133">
        <f>'Part VI-Revenues &amp; Expenses'!H18</f>
        <v>688</v>
      </c>
      <c r="I858" s="2133">
        <f>'Part VI-Revenues &amp; Expenses'!I18</f>
        <v>0</v>
      </c>
      <c r="J858" s="2133">
        <f>'Part VI-Revenues &amp; Expenses'!J18</f>
        <v>66.13</v>
      </c>
      <c r="K858" s="2134" t="str">
        <f>'Part VI-Revenues &amp; Expenses'!K18</f>
        <v>RAD</v>
      </c>
      <c r="L858" s="2135">
        <f t="shared" si="0"/>
        <v>621.87</v>
      </c>
      <c r="M858" s="2135">
        <f t="shared" si="1"/>
        <v>6218.7</v>
      </c>
      <c r="N858" s="1916" t="str">
        <f>'Part VI-Revenues &amp; Expenses'!N18</f>
        <v>No</v>
      </c>
      <c r="O858" s="2136" t="str">
        <f>'Part VI-Revenues &amp; Expenses'!O18</f>
        <v>Low-Rise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t="str">
        <f t="shared" si="18"/>
        <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f t="shared" si="28"/>
        <v>10</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f t="shared" si="48"/>
        <v>10</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t="str">
        <f t="shared" si="133"/>
        <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f t="shared" si="143"/>
        <v>6500</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f t="shared" si="158"/>
        <v>6500</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10</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10</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f t="shared" si="258"/>
        <v>10</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10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6723</v>
      </c>
    </row>
    <row r="859" spans="1:380" s="1852" customFormat="1" ht="13.9" customHeight="1">
      <c r="A859" s="2108" t="str">
        <f t="shared" si="327"/>
        <v/>
      </c>
      <c r="B859" s="2130">
        <f>'Part VI-Revenues &amp; Expenses'!B19</f>
        <v>30</v>
      </c>
      <c r="C859" s="2131">
        <f>'Part VI-Revenues &amp; Expenses'!C19</f>
        <v>2</v>
      </c>
      <c r="D859" s="2132">
        <f>'Part VI-Revenues &amp; Expenses'!D19</f>
        <v>1</v>
      </c>
      <c r="E859" s="2133">
        <f>'Part VI-Revenues &amp; Expenses'!E19</f>
        <v>6</v>
      </c>
      <c r="F859" s="2133">
        <f>'Part VI-Revenues &amp; Expenses'!F19</f>
        <v>850</v>
      </c>
      <c r="G859" s="2133">
        <f>'Part VI-Revenues &amp; Expenses'!G19</f>
        <v>582</v>
      </c>
      <c r="H859" s="2133">
        <f>'Part VI-Revenues &amp; Expenses'!H19</f>
        <v>797</v>
      </c>
      <c r="I859" s="2133">
        <f>'Part VI-Revenues &amp; Expenses'!I19</f>
        <v>0</v>
      </c>
      <c r="J859" s="2133">
        <f>'Part VI-Revenues &amp; Expenses'!J19</f>
        <v>81.069999999999993</v>
      </c>
      <c r="K859" s="2134" t="str">
        <f>'Part VI-Revenues &amp; Expenses'!K19</f>
        <v>RAD</v>
      </c>
      <c r="L859" s="2135">
        <f t="shared" si="0"/>
        <v>715.93000000000006</v>
      </c>
      <c r="M859" s="2135">
        <f t="shared" si="1"/>
        <v>4295.58</v>
      </c>
      <c r="N859" s="1916" t="str">
        <f>'Part VI-Revenues &amp; Expenses'!N19</f>
        <v>No</v>
      </c>
      <c r="O859" s="2136" t="str">
        <f>'Part VI-Revenues &amp; Expenses'!O19</f>
        <v>Low-Rise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f t="shared" si="29"/>
        <v>6</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f t="shared" si="49"/>
        <v>6</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f t="shared" si="144"/>
        <v>5100</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f t="shared" si="159"/>
        <v>5100</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6</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6</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f t="shared" si="259"/>
        <v>6</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6</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6724</v>
      </c>
    </row>
    <row r="860" spans="1:380" s="1852" customFormat="1" ht="13.9" customHeight="1">
      <c r="A860" s="2108" t="str">
        <f t="shared" si="327"/>
        <v/>
      </c>
      <c r="B860" s="2130">
        <f>'Part VI-Revenues &amp; Expenses'!B20</f>
        <v>30</v>
      </c>
      <c r="C860" s="2131">
        <f>'Part VI-Revenues &amp; Expenses'!C20</f>
        <v>3</v>
      </c>
      <c r="D860" s="2132">
        <f>'Part VI-Revenues &amp; Expenses'!D20</f>
        <v>2</v>
      </c>
      <c r="E860" s="2133">
        <f>'Part VI-Revenues &amp; Expenses'!E20</f>
        <v>4</v>
      </c>
      <c r="F860" s="2133">
        <f>'Part VI-Revenues &amp; Expenses'!F20</f>
        <v>1100</v>
      </c>
      <c r="G860" s="2133">
        <f>'Part VI-Revenues &amp; Expenses'!G20</f>
        <v>672</v>
      </c>
      <c r="H860" s="2133">
        <f>'Part VI-Revenues &amp; Expenses'!H20</f>
        <v>970</v>
      </c>
      <c r="I860" s="2133">
        <f>'Part VI-Revenues &amp; Expenses'!I20</f>
        <v>0</v>
      </c>
      <c r="J860" s="2133">
        <f>'Part VI-Revenues &amp; Expenses'!J20</f>
        <v>93.22</v>
      </c>
      <c r="K860" s="2134" t="str">
        <f>'Part VI-Revenues &amp; Expenses'!K20</f>
        <v>RAD</v>
      </c>
      <c r="L860" s="2135">
        <f t="shared" si="0"/>
        <v>876.78</v>
      </c>
      <c r="M860" s="2135">
        <f t="shared" si="1"/>
        <v>3507.12</v>
      </c>
      <c r="N860" s="1916" t="str">
        <f>'Part VI-Revenues &amp; Expenses'!N20</f>
        <v>No</v>
      </c>
      <c r="O860" s="2136" t="str">
        <f>'Part VI-Revenues &amp; Expenses'!O20</f>
        <v>Low-Rise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f t="shared" si="30"/>
        <v>4</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f t="shared" si="50"/>
        <v>4</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f t="shared" si="145"/>
        <v>4400</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f t="shared" si="160"/>
        <v>4400</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4</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4</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f t="shared" si="260"/>
        <v>4</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4</v>
      </c>
      <c r="MO860" s="2051">
        <f t="shared" si="337"/>
        <v>0</v>
      </c>
      <c r="MP860" s="2051">
        <f t="shared" si="322"/>
        <v>0</v>
      </c>
      <c r="MQ860" s="2051">
        <f t="shared" si="323"/>
        <v>0</v>
      </c>
      <c r="MR860" s="2051">
        <f t="shared" si="324"/>
        <v>0</v>
      </c>
      <c r="MS860" s="2051">
        <f t="shared" si="325"/>
        <v>0</v>
      </c>
      <c r="MT860" s="2051">
        <f t="shared" si="326"/>
        <v>0</v>
      </c>
      <c r="NP860" s="1924" t="s">
        <v>6725</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35</v>
      </c>
      <c r="F861" s="2133">
        <f>'Part VI-Revenues &amp; Expenses'!F21</f>
        <v>650</v>
      </c>
      <c r="G861" s="2133">
        <f>'Part VI-Revenues &amp; Expenses'!G21</f>
        <v>970</v>
      </c>
      <c r="H861" s="2133">
        <f>'Part VI-Revenues &amp; Expenses'!H21</f>
        <v>688</v>
      </c>
      <c r="I861" s="2133">
        <f>'Part VI-Revenues &amp; Expenses'!I21</f>
        <v>0</v>
      </c>
      <c r="J861" s="2133">
        <f>'Part VI-Revenues &amp; Expenses'!J21</f>
        <v>66.13</v>
      </c>
      <c r="K861" s="2134" t="str">
        <f>'Part VI-Revenues &amp; Expenses'!K21</f>
        <v>RAD</v>
      </c>
      <c r="L861" s="2135">
        <f t="shared" si="0"/>
        <v>621.87</v>
      </c>
      <c r="M861" s="2135">
        <f t="shared" si="1"/>
        <v>21765.45</v>
      </c>
      <c r="N861" s="1916" t="str">
        <f>'Part VI-Revenues &amp; Expenses'!N21</f>
        <v>No</v>
      </c>
      <c r="O861" s="2136" t="str">
        <f>'Part VI-Revenues &amp; Expenses'!O21</f>
        <v>Low-Rise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35</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f t="shared" si="63"/>
        <v>35</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22750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f t="shared" si="158"/>
        <v>22750</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35</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35</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f t="shared" si="258"/>
        <v>35</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35</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6726</v>
      </c>
    </row>
    <row r="862" spans="1:380" s="1852" customFormat="1" ht="13.9" customHeight="1">
      <c r="A862" s="2108" t="str">
        <f t="shared" si="327"/>
        <v/>
      </c>
      <c r="B862" s="2130">
        <f>'Part VI-Revenues &amp; Expenses'!B22</f>
        <v>60</v>
      </c>
      <c r="C862" s="2131">
        <f>'Part VI-Revenues &amp; Expenses'!C22</f>
        <v>2</v>
      </c>
      <c r="D862" s="2132">
        <f>'Part VI-Revenues &amp; Expenses'!D22</f>
        <v>1</v>
      </c>
      <c r="E862" s="2133">
        <f>'Part VI-Revenues &amp; Expenses'!E22</f>
        <v>20</v>
      </c>
      <c r="F862" s="2133">
        <f>'Part VI-Revenues &amp; Expenses'!F22</f>
        <v>850</v>
      </c>
      <c r="G862" s="2133">
        <f>'Part VI-Revenues &amp; Expenses'!G22</f>
        <v>1164</v>
      </c>
      <c r="H862" s="2133">
        <f>'Part VI-Revenues &amp; Expenses'!H22</f>
        <v>797</v>
      </c>
      <c r="I862" s="2133">
        <f>'Part VI-Revenues &amp; Expenses'!I22</f>
        <v>0</v>
      </c>
      <c r="J862" s="2133">
        <f>'Part VI-Revenues &amp; Expenses'!J22</f>
        <v>81.069999999999993</v>
      </c>
      <c r="K862" s="2134" t="str">
        <f>'Part VI-Revenues &amp; Expenses'!K22</f>
        <v>RAD</v>
      </c>
      <c r="L862" s="2135">
        <f t="shared" si="0"/>
        <v>715.93000000000006</v>
      </c>
      <c r="M862" s="2135">
        <f t="shared" si="1"/>
        <v>14318.600000000002</v>
      </c>
      <c r="N862" s="1916" t="str">
        <f>'Part VI-Revenues &amp; Expenses'!N22</f>
        <v>No</v>
      </c>
      <c r="O862" s="2136" t="str">
        <f>'Part VI-Revenues &amp; Expenses'!O22</f>
        <v>Low-Rise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20</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f t="shared" si="64"/>
        <v>20</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17000</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f t="shared" si="159"/>
        <v>17000</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20</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20</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f t="shared" si="259"/>
        <v>20</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6727</v>
      </c>
    </row>
    <row r="863" spans="1:380" s="1852" customFormat="1" ht="13.9" customHeight="1">
      <c r="A863" s="2108" t="str">
        <f t="shared" si="327"/>
        <v/>
      </c>
      <c r="B863" s="2130">
        <f>'Part VI-Revenues &amp; Expenses'!B23</f>
        <v>60</v>
      </c>
      <c r="C863" s="2131">
        <f>'Part VI-Revenues &amp; Expenses'!C23</f>
        <v>3</v>
      </c>
      <c r="D863" s="2132">
        <f>'Part VI-Revenues &amp; Expenses'!D23</f>
        <v>2</v>
      </c>
      <c r="E863" s="2133">
        <f>'Part VI-Revenues &amp; Expenses'!E23</f>
        <v>12</v>
      </c>
      <c r="F863" s="2133">
        <f>'Part VI-Revenues &amp; Expenses'!F23</f>
        <v>1100</v>
      </c>
      <c r="G863" s="2133">
        <f>'Part VI-Revenues &amp; Expenses'!G23</f>
        <v>1344</v>
      </c>
      <c r="H863" s="2133">
        <f>'Part VI-Revenues &amp; Expenses'!H23</f>
        <v>970</v>
      </c>
      <c r="I863" s="2133">
        <f>'Part VI-Revenues &amp; Expenses'!I23</f>
        <v>0</v>
      </c>
      <c r="J863" s="2133">
        <f>'Part VI-Revenues &amp; Expenses'!J23</f>
        <v>93.22</v>
      </c>
      <c r="K863" s="2134" t="str">
        <f>'Part VI-Revenues &amp; Expenses'!K23</f>
        <v>RAD</v>
      </c>
      <c r="L863" s="2135">
        <f t="shared" si="0"/>
        <v>876.78</v>
      </c>
      <c r="M863" s="2135">
        <f t="shared" si="1"/>
        <v>10521.36</v>
      </c>
      <c r="N863" s="1916" t="str">
        <f>'Part VI-Revenues &amp; Expenses'!N23</f>
        <v>No</v>
      </c>
      <c r="O863" s="2136" t="str">
        <f>'Part VI-Revenues &amp; Expenses'!O23</f>
        <v>Low-Rise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12</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f t="shared" si="65"/>
        <v>12</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13200</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f t="shared" si="160"/>
        <v>13200</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12</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f t="shared" si="215"/>
        <v>12</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f t="shared" si="260"/>
        <v>12</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12</v>
      </c>
      <c r="MO863" s="2051">
        <f t="shared" si="337"/>
        <v>0</v>
      </c>
      <c r="MP863" s="2051">
        <f t="shared" si="322"/>
        <v>0</v>
      </c>
      <c r="MQ863" s="2051">
        <f t="shared" si="323"/>
        <v>0</v>
      </c>
      <c r="MR863" s="2051">
        <f t="shared" si="324"/>
        <v>0</v>
      </c>
      <c r="MS863" s="2051">
        <f t="shared" si="325"/>
        <v>0</v>
      </c>
      <c r="MT863" s="2051">
        <f t="shared" si="326"/>
        <v>0</v>
      </c>
      <c r="NP863" s="1924" t="s">
        <v>6728</v>
      </c>
    </row>
    <row r="864" spans="1:380" s="1852" customFormat="1" ht="13.9" customHeight="1">
      <c r="A864" s="2108" t="str">
        <f t="shared" si="327"/>
        <v/>
      </c>
      <c r="B864" s="2130">
        <f>'Part VI-Revenues &amp; Expenses'!B24</f>
        <v>80</v>
      </c>
      <c r="C864" s="2131">
        <f>'Part VI-Revenues &amp; Expenses'!C24</f>
        <v>1</v>
      </c>
      <c r="D864" s="2132">
        <f>'Part VI-Revenues &amp; Expenses'!D24</f>
        <v>1</v>
      </c>
      <c r="E864" s="2133">
        <f>'Part VI-Revenues &amp; Expenses'!E24</f>
        <v>4</v>
      </c>
      <c r="F864" s="2133">
        <f>'Part VI-Revenues &amp; Expenses'!F24</f>
        <v>650</v>
      </c>
      <c r="G864" s="2133">
        <f>'Part VI-Revenues &amp; Expenses'!G24</f>
        <v>1294</v>
      </c>
      <c r="H864" s="2133">
        <f>'Part VI-Revenues &amp; Expenses'!H24</f>
        <v>688</v>
      </c>
      <c r="I864" s="2133">
        <f>'Part VI-Revenues &amp; Expenses'!I24</f>
        <v>0</v>
      </c>
      <c r="J864" s="2133">
        <f>'Part VI-Revenues &amp; Expenses'!J24</f>
        <v>66.13</v>
      </c>
      <c r="K864" s="2134" t="str">
        <f>'Part VI-Revenues &amp; Expenses'!K24</f>
        <v>RAD</v>
      </c>
      <c r="L864" s="2135">
        <f t="shared" si="0"/>
        <v>621.87</v>
      </c>
      <c r="M864" s="2135">
        <f t="shared" si="1"/>
        <v>2487.48</v>
      </c>
      <c r="N864" s="1916" t="str">
        <f>'Part VI-Revenues &amp; Expenses'!N24</f>
        <v>No</v>
      </c>
      <c r="O864" s="2136" t="str">
        <f>'Part VI-Revenues &amp; Expenses'!O24</f>
        <v>Low-Rise Apt</v>
      </c>
      <c r="P864" s="1916" t="str">
        <f>'Part VI-Revenues &amp; Expenses'!P24</f>
        <v>New Construction</v>
      </c>
      <c r="Q864" s="2137" t="str">
        <f>'Part VI-Revenues &amp; Expenses'!Q24</f>
        <v>No</v>
      </c>
      <c r="R864" s="2138"/>
      <c r="S864" s="2139"/>
      <c r="T864" s="2043"/>
      <c r="U864" s="2043"/>
      <c r="V864" s="2043"/>
      <c r="W864" s="2043"/>
      <c r="X864" s="1852" t="str">
        <f t="shared" si="2"/>
        <v/>
      </c>
      <c r="Y864" s="1852">
        <f t="shared" si="3"/>
        <v>4</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f t="shared" si="73"/>
        <v>4</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f t="shared" si="118"/>
        <v>2600</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f t="shared" si="158"/>
        <v>2600</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f t="shared" si="168"/>
        <v>4</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f t="shared" si="213"/>
        <v>4</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f t="shared" si="258"/>
        <v>4</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4</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6729</v>
      </c>
    </row>
    <row r="865" spans="1:380" s="1852" customFormat="1" ht="13.9" customHeight="1">
      <c r="A865" s="2108" t="str">
        <f t="shared" si="327"/>
        <v/>
      </c>
      <c r="B865" s="2130">
        <f>'Part VI-Revenues &amp; Expenses'!B25</f>
        <v>80</v>
      </c>
      <c r="C865" s="2131">
        <f>'Part VI-Revenues &amp; Expenses'!C25</f>
        <v>2</v>
      </c>
      <c r="D865" s="2132">
        <f>'Part VI-Revenues &amp; Expenses'!D25</f>
        <v>1</v>
      </c>
      <c r="E865" s="2133">
        <f>'Part VI-Revenues &amp; Expenses'!E25</f>
        <v>3</v>
      </c>
      <c r="F865" s="2133">
        <f>'Part VI-Revenues &amp; Expenses'!F25</f>
        <v>850</v>
      </c>
      <c r="G865" s="2133">
        <f>'Part VI-Revenues &amp; Expenses'!G25</f>
        <v>1552</v>
      </c>
      <c r="H865" s="2133">
        <f>'Part VI-Revenues &amp; Expenses'!H25</f>
        <v>797</v>
      </c>
      <c r="I865" s="2133">
        <f>'Part VI-Revenues &amp; Expenses'!I25</f>
        <v>0</v>
      </c>
      <c r="J865" s="2133">
        <f>'Part VI-Revenues &amp; Expenses'!J25</f>
        <v>81.069999999999993</v>
      </c>
      <c r="K865" s="2134" t="str">
        <f>'Part VI-Revenues &amp; Expenses'!K25</f>
        <v>RAD</v>
      </c>
      <c r="L865" s="2135">
        <f t="shared" si="0"/>
        <v>715.93000000000006</v>
      </c>
      <c r="M865" s="2135">
        <f t="shared" si="1"/>
        <v>2147.79</v>
      </c>
      <c r="N865" s="1916" t="str">
        <f>'Part VI-Revenues &amp; Expenses'!N25</f>
        <v>No</v>
      </c>
      <c r="O865" s="2136" t="str">
        <f>'Part VI-Revenues &amp; Expenses'!O25</f>
        <v>Low-Rise Apt</v>
      </c>
      <c r="P865" s="1916" t="str">
        <f>'Part VI-Revenues &amp; Expenses'!P25</f>
        <v>New Construction</v>
      </c>
      <c r="Q865" s="2137" t="str">
        <f>'Part VI-Revenues &amp; Expenses'!Q25</f>
        <v>No</v>
      </c>
      <c r="R865" s="2138"/>
      <c r="S865" s="2139"/>
      <c r="T865" s="2043"/>
      <c r="U865" s="2043"/>
      <c r="V865" s="2043"/>
      <c r="W865" s="2043"/>
      <c r="X865" s="1852" t="str">
        <f t="shared" si="2"/>
        <v/>
      </c>
      <c r="Y865" s="1852" t="str">
        <f t="shared" si="3"/>
        <v/>
      </c>
      <c r="Z865" s="1852">
        <f t="shared" si="4"/>
        <v>3</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f t="shared" si="74"/>
        <v>3</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f t="shared" si="119"/>
        <v>2550</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f t="shared" si="159"/>
        <v>2550</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f t="shared" si="169"/>
        <v>3</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f t="shared" si="214"/>
        <v>3</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f t="shared" si="259"/>
        <v>3</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3</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6730</v>
      </c>
    </row>
    <row r="866" spans="1:380" s="1852" customFormat="1" ht="13.9" customHeight="1">
      <c r="A866" s="2108" t="str">
        <f t="shared" si="327"/>
        <v/>
      </c>
      <c r="B866" s="2130">
        <f>'Part VI-Revenues &amp; Expenses'!B26</f>
        <v>80</v>
      </c>
      <c r="C866" s="2131">
        <f>'Part VI-Revenues &amp; Expenses'!C26</f>
        <v>3</v>
      </c>
      <c r="D866" s="2132">
        <f>'Part VI-Revenues &amp; Expenses'!D26</f>
        <v>2</v>
      </c>
      <c r="E866" s="2133">
        <f>'Part VI-Revenues &amp; Expenses'!E26</f>
        <v>1</v>
      </c>
      <c r="F866" s="2133">
        <f>'Part VI-Revenues &amp; Expenses'!F26</f>
        <v>1100</v>
      </c>
      <c r="G866" s="2133">
        <f>'Part VI-Revenues &amp; Expenses'!G26</f>
        <v>1793</v>
      </c>
      <c r="H866" s="2133">
        <f>'Part VI-Revenues &amp; Expenses'!H26</f>
        <v>970</v>
      </c>
      <c r="I866" s="2133">
        <f>'Part VI-Revenues &amp; Expenses'!I26</f>
        <v>0</v>
      </c>
      <c r="J866" s="2133">
        <f>'Part VI-Revenues &amp; Expenses'!J26</f>
        <v>93.22</v>
      </c>
      <c r="K866" s="2134" t="str">
        <f>'Part VI-Revenues &amp; Expenses'!K26</f>
        <v>RAD</v>
      </c>
      <c r="L866" s="2135">
        <f t="shared" si="0"/>
        <v>876.78</v>
      </c>
      <c r="M866" s="2135">
        <f t="shared" si="1"/>
        <v>876.78</v>
      </c>
      <c r="N866" s="1916" t="str">
        <f>'Part VI-Revenues &amp; Expenses'!N26</f>
        <v>No</v>
      </c>
      <c r="O866" s="2136" t="str">
        <f>'Part VI-Revenues &amp; Expenses'!O26</f>
        <v>Low-Rise Apt</v>
      </c>
      <c r="P866" s="1916" t="str">
        <f>'Part VI-Revenues &amp; Expenses'!P26</f>
        <v>New Construction</v>
      </c>
      <c r="Q866" s="2137" t="str">
        <f>'Part VI-Revenues &amp; Expenses'!Q26</f>
        <v>No</v>
      </c>
      <c r="R866" s="2138"/>
      <c r="S866" s="2139"/>
      <c r="T866" s="2043"/>
      <c r="U866" s="2043"/>
      <c r="V866" s="2043"/>
      <c r="W866" s="2043"/>
      <c r="X866" s="1852" t="str">
        <f t="shared" si="2"/>
        <v/>
      </c>
      <c r="Y866" s="1852" t="str">
        <f t="shared" si="3"/>
        <v/>
      </c>
      <c r="Z866" s="1852" t="str">
        <f t="shared" si="4"/>
        <v/>
      </c>
      <c r="AA866" s="1852">
        <f t="shared" si="5"/>
        <v>1</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f t="shared" si="75"/>
        <v>1</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f t="shared" si="120"/>
        <v>1100</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f t="shared" si="160"/>
        <v>1100</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f t="shared" si="170"/>
        <v>1</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f t="shared" si="215"/>
        <v>1</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f t="shared" si="260"/>
        <v>1</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1</v>
      </c>
      <c r="MO866" s="2051">
        <f t="shared" si="337"/>
        <v>0</v>
      </c>
      <c r="MP866" s="2051">
        <f t="shared" si="322"/>
        <v>0</v>
      </c>
      <c r="MQ866" s="2051">
        <f t="shared" si="323"/>
        <v>0</v>
      </c>
      <c r="MR866" s="2051">
        <f t="shared" si="324"/>
        <v>0</v>
      </c>
      <c r="MS866" s="2051">
        <f t="shared" si="325"/>
        <v>0</v>
      </c>
      <c r="MT866" s="2051">
        <f t="shared" si="326"/>
        <v>0</v>
      </c>
      <c r="NP866" s="1924" t="s">
        <v>6731</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6732</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6733</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6734</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6735</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6736</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6737</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6738</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6739</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6740</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6741</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6742</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6743</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6744</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6745</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6746</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6747</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6748</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6749</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6750</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6751</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6752</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6753</v>
      </c>
    </row>
    <row r="889" spans="1:380" s="1852" customFormat="1" ht="13.9" customHeight="1">
      <c r="A889" s="2108">
        <f>COUNT(A851,A852,A853,A854,A855,A856,A857,A858,A859,A860,A861,A862,A863,A864,A865,A866,A867,A868,A869,A870,A871,A872,A873,A874,A875,A876,A877,A878,A879,A880)</f>
        <v>0</v>
      </c>
      <c r="B889" s="435" t="s">
        <v>3921</v>
      </c>
      <c r="C889" s="435"/>
      <c r="D889" s="2141" t="s">
        <v>979</v>
      </c>
      <c r="E889" s="2142">
        <f>SUM(E851:E888)</f>
        <v>95</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75200</v>
      </c>
      <c r="H889" s="2144" t="s">
        <v>3918</v>
      </c>
      <c r="I889" s="2145" t="s">
        <v>3919</v>
      </c>
      <c r="J889" s="2146" t="str">
        <f>IF(P907=0,"",IF(SUM(P898:P902)/P907&gt;=0.4,"Pass","Fail"))</f>
        <v>Pass</v>
      </c>
      <c r="K889" s="436"/>
      <c r="L889" s="2141" t="s">
        <v>1254</v>
      </c>
      <c r="M889" s="2147">
        <f>SUM(M851:M888)</f>
        <v>66138.86</v>
      </c>
      <c r="N889" s="1818"/>
      <c r="O889" s="1818"/>
      <c r="P889" s="1818"/>
      <c r="Q889" s="1818"/>
      <c r="R889" s="1818"/>
      <c r="S889" s="1818"/>
      <c r="T889" s="1818"/>
      <c r="U889" s="1818"/>
      <c r="V889" s="2117"/>
      <c r="W889" s="2140"/>
      <c r="X889" s="2140">
        <f t="shared" ref="X889:FA889" si="338">SUM(X851:X888)</f>
        <v>0</v>
      </c>
      <c r="Y889" s="2140">
        <f t="shared" si="338"/>
        <v>4</v>
      </c>
      <c r="Z889" s="2140">
        <f t="shared" si="338"/>
        <v>3</v>
      </c>
      <c r="AA889" s="2140">
        <f t="shared" si="338"/>
        <v>1</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35</v>
      </c>
      <c r="AJ889" s="2140">
        <f t="shared" si="338"/>
        <v>20</v>
      </c>
      <c r="AK889" s="2140">
        <f t="shared" si="338"/>
        <v>12</v>
      </c>
      <c r="AL889" s="2140">
        <f t="shared" si="338"/>
        <v>0</v>
      </c>
      <c r="AM889" s="2140">
        <f>SUM(AM851:AM888)</f>
        <v>0</v>
      </c>
      <c r="AN889" s="2140">
        <f>SUM(AN851:AN888)</f>
        <v>0</v>
      </c>
      <c r="AO889" s="2140">
        <f>SUM(AO851:AO888)</f>
        <v>0</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10</v>
      </c>
      <c r="AY889" s="2140">
        <f t="shared" si="338"/>
        <v>6</v>
      </c>
      <c r="AZ889" s="2140">
        <f t="shared" si="338"/>
        <v>4</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10</v>
      </c>
      <c r="BS889" s="2140">
        <f t="shared" si="338"/>
        <v>6</v>
      </c>
      <c r="BT889" s="2140">
        <f t="shared" si="338"/>
        <v>4</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35</v>
      </c>
      <c r="CH889" s="2140">
        <f t="shared" si="338"/>
        <v>20</v>
      </c>
      <c r="CI889" s="2140">
        <f t="shared" si="338"/>
        <v>12</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4</v>
      </c>
      <c r="CR889" s="2140">
        <f t="shared" si="339"/>
        <v>3</v>
      </c>
      <c r="CS889" s="2140">
        <f t="shared" si="339"/>
        <v>1</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2600</v>
      </c>
      <c r="EK889" s="2140">
        <f t="shared" si="338"/>
        <v>2550</v>
      </c>
      <c r="EL889" s="2140">
        <f t="shared" si="338"/>
        <v>1100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22750</v>
      </c>
      <c r="EU889" s="2140">
        <f t="shared" si="338"/>
        <v>17000</v>
      </c>
      <c r="EV889" s="2140">
        <f t="shared" si="338"/>
        <v>13200</v>
      </c>
      <c r="EW889" s="2140">
        <f t="shared" si="338"/>
        <v>0</v>
      </c>
      <c r="EX889" s="2140">
        <f t="shared" si="338"/>
        <v>0</v>
      </c>
      <c r="EY889" s="2140">
        <f t="shared" si="338"/>
        <v>0</v>
      </c>
      <c r="EZ889" s="2140">
        <f t="shared" si="338"/>
        <v>0</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6500</v>
      </c>
      <c r="FJ889" s="2140">
        <f t="shared" si="340"/>
        <v>5100</v>
      </c>
      <c r="FK889" s="2140">
        <f t="shared" si="340"/>
        <v>4400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31850</v>
      </c>
      <c r="FY889" s="2140">
        <f t="shared" si="340"/>
        <v>24650</v>
      </c>
      <c r="FZ889" s="2140">
        <f t="shared" si="340"/>
        <v>18700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49</v>
      </c>
      <c r="GI889" s="2140">
        <f t="shared" si="340"/>
        <v>29</v>
      </c>
      <c r="GJ889" s="2140">
        <f t="shared" si="340"/>
        <v>17</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49</v>
      </c>
      <c r="IB889" s="2140">
        <f t="shared" si="341"/>
        <v>29</v>
      </c>
      <c r="IC889" s="2140">
        <f t="shared" si="341"/>
        <v>17</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49</v>
      </c>
      <c r="JU889" s="2140">
        <f t="shared" si="341"/>
        <v>29</v>
      </c>
      <c r="JV889" s="2140">
        <f t="shared" si="341"/>
        <v>17</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49</v>
      </c>
      <c r="MM889" s="2140">
        <f t="shared" si="342"/>
        <v>29</v>
      </c>
      <c r="MN889" s="2140">
        <f t="shared" si="342"/>
        <v>17</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6754</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55.368421052631582</v>
      </c>
      <c r="C890" s="2148"/>
      <c r="D890" s="2108" t="s">
        <v>3828</v>
      </c>
      <c r="E890" s="2142">
        <f>SUM(E858:E888)</f>
        <v>95</v>
      </c>
      <c r="F890" s="2143">
        <f>(E858*F858+E859*F859+E860*F860+E861*F861+E862*F862+E863*F863+E864*F864+E865*F865+E866*F866+E867*F867+E868*F868+E869*F869+E870*F870+E871*F871+E872*F872+E873*F873+E874*F874+E875*F875+E876*F876+E877*F877+E878*F878+E879*F879+E880*F880+E881*F881+E882*F882+E883*F883+E884*F884+E885*F885+E886*F886+E887*F887+E888*F888)</f>
        <v>75200</v>
      </c>
      <c r="H890" s="2144"/>
      <c r="I890" s="2145" t="s">
        <v>3920</v>
      </c>
      <c r="J890" s="2146" t="str">
        <f>IF(P907=0,"",IF(SUM(P899:P902)/P907&gt;=0.2,"Pass","Fail"))</f>
        <v>Pass</v>
      </c>
      <c r="K890" s="436"/>
      <c r="L890" s="2141" t="s">
        <v>781</v>
      </c>
      <c r="M890" s="2147">
        <f>M889*12</f>
        <v>793666.32000000007</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6755</v>
      </c>
    </row>
    <row r="891" spans="1:380" s="1852" customFormat="1" ht="12" customHeight="1">
      <c r="A891" s="1864" t="s">
        <v>7115</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6818</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4282</v>
      </c>
      <c r="B896" s="1843"/>
      <c r="C896" s="1818" t="s">
        <v>1095</v>
      </c>
      <c r="D896" s="1818"/>
      <c r="E896" s="1818"/>
      <c r="F896" s="1818"/>
      <c r="H896" s="1719" t="s">
        <v>3829</v>
      </c>
      <c r="I896" s="435"/>
      <c r="K896" s="2152">
        <f>X889</f>
        <v>0</v>
      </c>
      <c r="L896" s="2152">
        <f>Y889</f>
        <v>4</v>
      </c>
      <c r="M896" s="2152">
        <f>Z889</f>
        <v>3</v>
      </c>
      <c r="N896" s="2152">
        <f>AA889</f>
        <v>1</v>
      </c>
      <c r="O896" s="2152">
        <f>AB889</f>
        <v>0</v>
      </c>
      <c r="P896" s="2152">
        <f t="shared" ref="P896:P907" si="343">SUM(K896:O896)</f>
        <v>8</v>
      </c>
      <c r="Q896" s="1864" t="s">
        <v>3308</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3830</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35</v>
      </c>
      <c r="M898" s="2152">
        <f>AJ889</f>
        <v>20</v>
      </c>
      <c r="N898" s="2152">
        <f>AK889</f>
        <v>12</v>
      </c>
      <c r="O898" s="2152">
        <f>AL889</f>
        <v>0</v>
      </c>
      <c r="P898" s="2152">
        <f t="shared" si="343"/>
        <v>67</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0</v>
      </c>
      <c r="M899" s="2152">
        <f>AO889</f>
        <v>0</v>
      </c>
      <c r="N899" s="2152">
        <f>AP889</f>
        <v>0</v>
      </c>
      <c r="O899" s="2152">
        <f>AQ889</f>
        <v>0</v>
      </c>
      <c r="P899" s="2152">
        <f t="shared" si="343"/>
        <v>0</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3831</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3832</v>
      </c>
      <c r="I901" s="435"/>
      <c r="K901" s="2152">
        <f>AW889</f>
        <v>0</v>
      </c>
      <c r="L901" s="2152">
        <f>AX889</f>
        <v>10</v>
      </c>
      <c r="M901" s="2152">
        <f>AY889</f>
        <v>6</v>
      </c>
      <c r="N901" s="2152">
        <f>AZ889</f>
        <v>4</v>
      </c>
      <c r="O901" s="2152">
        <f>BA889</f>
        <v>0</v>
      </c>
      <c r="P901" s="2152">
        <f t="shared" si="343"/>
        <v>20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3833</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3915</v>
      </c>
      <c r="D903" s="1818"/>
      <c r="E903" s="1818"/>
      <c r="F903" s="1818"/>
      <c r="H903" s="2114"/>
      <c r="I903" s="2112"/>
      <c r="K903" s="2152">
        <f>SUM(K896:K902)</f>
        <v>0</v>
      </c>
      <c r="L903" s="2152">
        <f>SUM(L896:L902)</f>
        <v>49</v>
      </c>
      <c r="M903" s="2152">
        <f>SUM(M896:M902)</f>
        <v>29</v>
      </c>
      <c r="N903" s="2152">
        <f>SUM(N896:N902)</f>
        <v>17</v>
      </c>
      <c r="O903" s="2152">
        <f>SUM(O896:O902)</f>
        <v>0</v>
      </c>
      <c r="P903" s="2152">
        <f t="shared" si="343"/>
        <v>95</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49</v>
      </c>
      <c r="M905" s="2157">
        <f>SUM(M903:M904)</f>
        <v>29</v>
      </c>
      <c r="N905" s="2157">
        <f>SUM(N903:N904)</f>
        <v>17</v>
      </c>
      <c r="O905" s="2157">
        <f>SUM(O903:O904)</f>
        <v>0</v>
      </c>
      <c r="P905" s="2157">
        <f t="shared" si="343"/>
        <v>95</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3309</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49</v>
      </c>
      <c r="M907" s="2152">
        <f>SUM(M905:M906)</f>
        <v>29</v>
      </c>
      <c r="N907" s="2152">
        <f>SUM(N905:N906)</f>
        <v>17</v>
      </c>
      <c r="O907" s="2152">
        <f>SUM(O905:O906)</f>
        <v>0</v>
      </c>
      <c r="P907" s="2152">
        <f t="shared" si="343"/>
        <v>95</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3926</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3829</v>
      </c>
      <c r="I910" s="2160"/>
      <c r="J910" s="2161"/>
      <c r="K910" s="2162" t="str">
        <f t="shared" ref="K910:P910" si="344">IF(OR(K896=0,K907=0),"",K896/K907)</f>
        <v/>
      </c>
      <c r="L910" s="2162">
        <f t="shared" si="344"/>
        <v>8.1632653061224483E-2</v>
      </c>
      <c r="M910" s="2162">
        <f t="shared" si="344"/>
        <v>0.10344827586206896</v>
      </c>
      <c r="N910" s="2162">
        <f t="shared" si="344"/>
        <v>5.8823529411764705E-2</v>
      </c>
      <c r="O910" s="2162" t="str">
        <f t="shared" si="344"/>
        <v/>
      </c>
      <c r="P910" s="2162">
        <f t="shared" si="344"/>
        <v>8.4210526315789472E-2</v>
      </c>
      <c r="Q910" s="2121" t="s">
        <v>4274</v>
      </c>
      <c r="S910" s="2043"/>
      <c r="T910" s="2043"/>
      <c r="U910" s="2043"/>
      <c r="V910" s="2043"/>
      <c r="W910" s="2043"/>
    </row>
    <row r="911" spans="1:380">
      <c r="A911" s="1843"/>
      <c r="B911" s="1843"/>
      <c r="C911" s="2113"/>
      <c r="D911" s="1852"/>
      <c r="E911" s="1852"/>
      <c r="F911" s="1852"/>
      <c r="G911" s="1852"/>
      <c r="H911" s="2159" t="s">
        <v>7116</v>
      </c>
      <c r="I911" s="2160"/>
      <c r="J911" s="1818"/>
      <c r="K911" s="2163" t="str">
        <f>IF(OR(K896=0,P910="",K907=0),"",P910*K907)</f>
        <v/>
      </c>
      <c r="L911" s="2163">
        <f>IF(OR(L896=0,P910="",L907=0),"",P910*L907)</f>
        <v>4.1263157894736837</v>
      </c>
      <c r="M911" s="2163">
        <f>IF(OR(M896=0,P910="",M907=0),"",P910*M907)</f>
        <v>2.4421052631578948</v>
      </c>
      <c r="N911" s="2163">
        <f>IF(OR(N896=0,P910="",N907=0),"",P910*N907)</f>
        <v>1.4315789473684211</v>
      </c>
      <c r="O911" s="2163" t="str">
        <f>IF(OR(O896=0,P910="",O907=0),"",P910*O907)</f>
        <v/>
      </c>
      <c r="P911" s="2163">
        <f>IF(OR(P910="",P907=0),"",P910*P907)</f>
        <v>8</v>
      </c>
      <c r="S911" s="2043"/>
      <c r="T911" s="2043"/>
      <c r="U911" s="2043"/>
      <c r="V911" s="2043"/>
      <c r="W911" s="2043"/>
    </row>
    <row r="912" spans="1:380">
      <c r="C912" s="2113"/>
      <c r="D912" s="1852"/>
      <c r="E912" s="1852"/>
      <c r="F912" s="1852"/>
      <c r="G912" s="2164"/>
      <c r="H912" s="2159" t="s">
        <v>7117</v>
      </c>
      <c r="I912" s="2160"/>
      <c r="J912" s="1818"/>
      <c r="K912" s="2163" t="str">
        <f t="shared" ref="K912:P912" si="345">IF(OR(K911="",K896=0),"", K896-K911)</f>
        <v/>
      </c>
      <c r="L912" s="2163">
        <f t="shared" si="345"/>
        <v>-0.12631578947368372</v>
      </c>
      <c r="M912" s="2163">
        <f t="shared" si="345"/>
        <v>0.55789473684210522</v>
      </c>
      <c r="N912" s="2163">
        <f t="shared" si="345"/>
        <v>-0.43157894736842106</v>
      </c>
      <c r="O912" s="2163" t="str">
        <f t="shared" si="345"/>
        <v/>
      </c>
      <c r="P912" s="2163">
        <f t="shared" si="345"/>
        <v>0</v>
      </c>
      <c r="S912" s="2043"/>
      <c r="T912" s="2043"/>
      <c r="U912" s="2043"/>
      <c r="V912" s="2043"/>
      <c r="W912" s="2043"/>
    </row>
    <row r="913" spans="3:23" ht="12.75" customHeight="1">
      <c r="C913" s="2113"/>
      <c r="D913" s="2113" t="s">
        <v>7118</v>
      </c>
      <c r="E913" s="2113"/>
      <c r="F913" s="2113"/>
      <c r="G913" s="1852"/>
      <c r="H913" s="2159" t="s">
        <v>3830</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7116</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7117</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4272</v>
      </c>
      <c r="D916" s="2113"/>
      <c r="E916" s="2113"/>
      <c r="F916" s="2113"/>
      <c r="G916" s="1852"/>
      <c r="H916" s="2159" t="s">
        <v>1107</v>
      </c>
      <c r="I916" s="2160"/>
      <c r="J916" s="1818"/>
      <c r="K916" s="2162" t="str">
        <f t="shared" ref="K916:P916" si="348">IF(OR(K898=0,K907=0),"",K898/K907)</f>
        <v/>
      </c>
      <c r="L916" s="2162">
        <f t="shared" si="348"/>
        <v>0.7142857142857143</v>
      </c>
      <c r="M916" s="2162">
        <f t="shared" si="348"/>
        <v>0.68965517241379315</v>
      </c>
      <c r="N916" s="2162">
        <f t="shared" si="348"/>
        <v>0.70588235294117652</v>
      </c>
      <c r="O916" s="2162" t="str">
        <f t="shared" si="348"/>
        <v/>
      </c>
      <c r="P916" s="2162">
        <f t="shared" si="348"/>
        <v>0.70526315789473681</v>
      </c>
      <c r="S916" s="2043"/>
      <c r="T916" s="2043"/>
      <c r="U916" s="2043"/>
      <c r="V916" s="2043"/>
      <c r="W916" s="2043"/>
    </row>
    <row r="917" spans="3:23" ht="15.75" customHeight="1">
      <c r="D917" s="2113"/>
      <c r="E917" s="2113"/>
      <c r="F917" s="2113"/>
      <c r="G917" s="1852"/>
      <c r="H917" s="2159" t="s">
        <v>7116</v>
      </c>
      <c r="I917" s="2160"/>
      <c r="J917" s="1818"/>
      <c r="K917" s="2163" t="str">
        <f>IF(OR(K898=0,P916="",K907=0),"",P916*K907)</f>
        <v/>
      </c>
      <c r="L917" s="2163">
        <f>IF(OR(L898=0,P916="",L907=0),"",P916*L907)</f>
        <v>34.557894736842101</v>
      </c>
      <c r="M917" s="2163">
        <f>IF(OR(M898=0,P916="",M907=0),"",P916*M907)</f>
        <v>20.452631578947368</v>
      </c>
      <c r="N917" s="2163">
        <f>IF(OR(N898=0,P916="",N907=0),"",P916*N907)</f>
        <v>11.989473684210527</v>
      </c>
      <c r="O917" s="2163" t="str">
        <f>IF(OR(O898=0,P916="",O907=0),"",P916*O907)</f>
        <v/>
      </c>
      <c r="P917" s="2163">
        <f>IF(OR(P916="",P907=0),"",P916*P907)</f>
        <v>67</v>
      </c>
      <c r="S917" s="2043"/>
      <c r="T917" s="2043"/>
      <c r="U917" s="2043"/>
      <c r="V917" s="2043"/>
      <c r="W917" s="2043"/>
    </row>
    <row r="918" spans="3:23" ht="15.75" customHeight="1">
      <c r="D918" s="2113"/>
      <c r="E918" s="2113"/>
      <c r="F918" s="2113"/>
      <c r="G918" s="2164"/>
      <c r="H918" s="2159" t="s">
        <v>7117</v>
      </c>
      <c r="I918" s="2160"/>
      <c r="J918" s="1818"/>
      <c r="K918" s="2163" t="str">
        <f t="shared" ref="K918:P918" si="349">IF(OR(K917="",K898=0),"", K898-K917)</f>
        <v/>
      </c>
      <c r="L918" s="2163">
        <f t="shared" si="349"/>
        <v>0.44210526315789878</v>
      </c>
      <c r="M918" s="2163">
        <f t="shared" si="349"/>
        <v>-0.4526315789473685</v>
      </c>
      <c r="N918" s="2163">
        <f t="shared" si="349"/>
        <v>1.0526315789473273E-2</v>
      </c>
      <c r="O918" s="2163" t="str">
        <f t="shared" si="349"/>
        <v/>
      </c>
      <c r="P918" s="2163">
        <f t="shared" si="349"/>
        <v>0</v>
      </c>
    </row>
    <row r="919" spans="3:23">
      <c r="C919" s="1924" t="s">
        <v>4272</v>
      </c>
      <c r="F919" s="1852"/>
      <c r="G919" s="1852"/>
      <c r="H919" s="2159" t="s">
        <v>111</v>
      </c>
      <c r="I919" s="2160"/>
      <c r="J919" s="1818"/>
      <c r="K919" s="2162" t="str">
        <f t="shared" ref="K919:P919" si="350">IF(OR(K899=0,K907=0),"",K899/K907)</f>
        <v/>
      </c>
      <c r="L919" s="2162" t="str">
        <f t="shared" si="350"/>
        <v/>
      </c>
      <c r="M919" s="2162" t="str">
        <f t="shared" si="350"/>
        <v/>
      </c>
      <c r="N919" s="2162" t="str">
        <f t="shared" si="350"/>
        <v/>
      </c>
      <c r="O919" s="2162" t="str">
        <f t="shared" si="350"/>
        <v/>
      </c>
      <c r="P919" s="2162" t="str">
        <f t="shared" si="350"/>
        <v/>
      </c>
    </row>
    <row r="920" spans="3:23">
      <c r="F920" s="1852"/>
      <c r="G920" s="1852"/>
      <c r="H920" s="2159" t="s">
        <v>7116</v>
      </c>
      <c r="I920" s="2160"/>
      <c r="J920" s="1818"/>
      <c r="K920" s="2163" t="str">
        <f>IF(OR(K899=0,P919="",K907=0),"",P919*K907)</f>
        <v/>
      </c>
      <c r="L920" s="2163" t="str">
        <f>IF(OR(L899=0,P919="",L907=0),"",P919*L907)</f>
        <v/>
      </c>
      <c r="M920" s="2163" t="str">
        <f>IF(OR(M899=0,P919="",M907=0),"",P919*M907)</f>
        <v/>
      </c>
      <c r="N920" s="2163" t="str">
        <f>IF(OR(N899=0,P919="",N907=0),"",P919*N907)</f>
        <v/>
      </c>
      <c r="O920" s="2163" t="str">
        <f>IF(OR(O899=0,P919="",O907=0),"",P919*O907)</f>
        <v/>
      </c>
      <c r="P920" s="2163" t="str">
        <f>IF(OR(P919="",P907=0),"",P919*P907)</f>
        <v/>
      </c>
    </row>
    <row r="921" spans="3:23">
      <c r="F921" s="1852"/>
      <c r="G921" s="2164"/>
      <c r="H921" s="2159" t="s">
        <v>7117</v>
      </c>
      <c r="I921" s="2160"/>
      <c r="J921" s="1818"/>
      <c r="K921" s="2163" t="str">
        <f t="shared" ref="K921:P921" si="351">IF(OR(K920="",K899=0),"", K899-K920)</f>
        <v/>
      </c>
      <c r="L921" s="2163" t="str">
        <f t="shared" si="351"/>
        <v/>
      </c>
      <c r="M921" s="2163" t="str">
        <f t="shared" si="351"/>
        <v/>
      </c>
      <c r="N921" s="2163" t="str">
        <f t="shared" si="351"/>
        <v/>
      </c>
      <c r="O921" s="2163" t="str">
        <f t="shared" si="351"/>
        <v/>
      </c>
      <c r="P921" s="2163" t="str">
        <f t="shared" si="351"/>
        <v/>
      </c>
    </row>
    <row r="922" spans="3:23">
      <c r="C922" s="1924" t="s">
        <v>4272</v>
      </c>
      <c r="F922" s="1852"/>
      <c r="G922" s="1852"/>
      <c r="H922" s="2159" t="s">
        <v>3831</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7116</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7117</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4272</v>
      </c>
      <c r="D925" s="1852"/>
      <c r="E925" s="1852"/>
      <c r="F925" s="1852"/>
      <c r="G925" s="1852"/>
      <c r="H925" s="2159" t="s">
        <v>3832</v>
      </c>
      <c r="I925" s="2160"/>
      <c r="J925" s="1818"/>
      <c r="K925" s="2162" t="str">
        <f t="shared" ref="K925:P925" si="354">IF(OR(K901=0,K907=0),"",K901/K907)</f>
        <v/>
      </c>
      <c r="L925" s="2162">
        <f t="shared" si="354"/>
        <v>0.20408163265306123</v>
      </c>
      <c r="M925" s="2162">
        <f t="shared" si="354"/>
        <v>0.20689655172413793</v>
      </c>
      <c r="N925" s="2162">
        <f t="shared" si="354"/>
        <v>0.23529411764705882</v>
      </c>
      <c r="O925" s="2162" t="str">
        <f t="shared" si="354"/>
        <v/>
      </c>
      <c r="P925" s="2162">
        <f t="shared" si="354"/>
        <v>0.21052631578947367</v>
      </c>
    </row>
    <row r="926" spans="3:23">
      <c r="D926" s="1852"/>
      <c r="E926" s="1852"/>
      <c r="F926" s="1852"/>
      <c r="G926" s="1852"/>
      <c r="H926" s="2159" t="s">
        <v>7116</v>
      </c>
      <c r="I926" s="2160"/>
      <c r="J926" s="1818"/>
      <c r="K926" s="2163" t="str">
        <f>IF(OR(K901=0,P925="",K907=0),"",P925*K907)</f>
        <v/>
      </c>
      <c r="L926" s="2163">
        <f>IF(OR(L901=0,P925="",L907=0),"",P925*L907)</f>
        <v>10.315789473684211</v>
      </c>
      <c r="M926" s="2163">
        <f>IF(OR(M901=0,P925="",M907=0),"",P925*M907)</f>
        <v>6.1052631578947363</v>
      </c>
      <c r="N926" s="2163">
        <f>IF(OR(N901=0,P925="",N907=0),"",P925*N907)</f>
        <v>3.5789473684210522</v>
      </c>
      <c r="O926" s="2163" t="str">
        <f>IF(OR(O901=0,P925="",O907=0),"",P925*O907)</f>
        <v/>
      </c>
      <c r="P926" s="2163">
        <f>IF(OR(P925="",P907=0),"",P925*P907)</f>
        <v>20</v>
      </c>
    </row>
    <row r="927" spans="3:23">
      <c r="D927" s="1852"/>
      <c r="E927" s="1852"/>
      <c r="F927" s="1852"/>
      <c r="G927" s="2164"/>
      <c r="H927" s="2159" t="s">
        <v>7117</v>
      </c>
      <c r="I927" s="2160"/>
      <c r="J927" s="1818"/>
      <c r="K927" s="2163" t="str">
        <f t="shared" ref="K927:P927" si="355">IF(OR(K926="",K901=0),"", K901-K926)</f>
        <v/>
      </c>
      <c r="L927" s="2163">
        <f t="shared" si="355"/>
        <v>-0.31578947368421062</v>
      </c>
      <c r="M927" s="2163">
        <f t="shared" si="355"/>
        <v>-0.10526315789473628</v>
      </c>
      <c r="N927" s="2163">
        <f t="shared" si="355"/>
        <v>0.42105263157894779</v>
      </c>
      <c r="O927" s="2163" t="str">
        <f t="shared" si="355"/>
        <v/>
      </c>
      <c r="P927" s="2163">
        <f t="shared" si="355"/>
        <v>0</v>
      </c>
    </row>
    <row r="928" spans="3:23">
      <c r="C928" s="1924" t="s">
        <v>4272</v>
      </c>
      <c r="D928" s="1852"/>
      <c r="E928" s="1852"/>
      <c r="F928" s="1852"/>
      <c r="G928" s="1852"/>
      <c r="H928" s="2159" t="s">
        <v>3833</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7116</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7117</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3829</v>
      </c>
      <c r="I933" s="435"/>
      <c r="K933" s="2166">
        <f>CP889</f>
        <v>0</v>
      </c>
      <c r="L933" s="2166">
        <f>CQ889</f>
        <v>4</v>
      </c>
      <c r="M933" s="2166">
        <f>CR889</f>
        <v>3</v>
      </c>
      <c r="N933" s="2166">
        <f>CS889</f>
        <v>1</v>
      </c>
      <c r="O933" s="2166">
        <f>CT889</f>
        <v>0</v>
      </c>
      <c r="P933" s="2152">
        <f t="shared" ref="P933:P940" si="358">SUM(K933:O933)</f>
        <v>8</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3830</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35</v>
      </c>
      <c r="M935" s="2152">
        <f>CH889</f>
        <v>20</v>
      </c>
      <c r="N935" s="2152">
        <f>CI889</f>
        <v>12</v>
      </c>
      <c r="O935" s="2152">
        <f>CJ889</f>
        <v>0</v>
      </c>
      <c r="P935" s="2152">
        <f t="shared" si="358"/>
        <v>67</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3831</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3832</v>
      </c>
      <c r="I938" s="435"/>
      <c r="K938" s="2152">
        <f>BQ889</f>
        <v>0</v>
      </c>
      <c r="L938" s="2152">
        <f>BR889</f>
        <v>10</v>
      </c>
      <c r="M938" s="2152">
        <f>BS889</f>
        <v>6</v>
      </c>
      <c r="N938" s="2152">
        <f>BT889</f>
        <v>4</v>
      </c>
      <c r="O938" s="2152">
        <f>BU889</f>
        <v>0</v>
      </c>
      <c r="P938" s="2152">
        <f t="shared" si="358"/>
        <v>20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3833</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49</v>
      </c>
      <c r="M940" s="2152">
        <f>SUM(M933:M939)</f>
        <v>29</v>
      </c>
      <c r="N940" s="2152">
        <f>SUM(N933:N939)</f>
        <v>17</v>
      </c>
      <c r="O940" s="2152">
        <f>SUM(O933:O939)</f>
        <v>0</v>
      </c>
      <c r="P940" s="2152">
        <f t="shared" si="358"/>
        <v>95</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7119</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3829</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3830</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3831</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3832</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3833</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49</v>
      </c>
      <c r="M953" s="2152">
        <f>GI889</f>
        <v>29</v>
      </c>
      <c r="N953" s="2152">
        <f>GJ889</f>
        <v>17</v>
      </c>
      <c r="O953" s="2152">
        <f>GK889</f>
        <v>0</v>
      </c>
      <c r="P953" s="2152">
        <f t="shared" ref="P953:P963" si="360">SUM(K953:O953)</f>
        <v>95</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49</v>
      </c>
      <c r="M955" s="2152">
        <f>SUM(M953:M954)+GS889</f>
        <v>29</v>
      </c>
      <c r="N955" s="2152">
        <f>SUM(N953:N954)+GT889</f>
        <v>17</v>
      </c>
      <c r="O955" s="2152">
        <f>SUM(O953:O954)+GU889</f>
        <v>0</v>
      </c>
      <c r="P955" s="2152">
        <f t="shared" si="360"/>
        <v>95</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6843</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7120</v>
      </c>
      <c r="D967" s="2158"/>
      <c r="E967" s="1719" t="s">
        <v>36</v>
      </c>
      <c r="F967" s="1818"/>
      <c r="G967" s="1864"/>
      <c r="H967" s="2114"/>
      <c r="K967" s="2152">
        <f t="shared" ref="K967:P967" si="361">SUM(K968:K975)</f>
        <v>0</v>
      </c>
      <c r="L967" s="2152">
        <f t="shared" si="361"/>
        <v>49</v>
      </c>
      <c r="M967" s="2152">
        <f t="shared" si="361"/>
        <v>29</v>
      </c>
      <c r="N967" s="2152">
        <f t="shared" si="361"/>
        <v>17</v>
      </c>
      <c r="O967" s="2152">
        <f t="shared" si="361"/>
        <v>0</v>
      </c>
      <c r="P967" s="2152">
        <f t="shared" si="361"/>
        <v>95</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6595</v>
      </c>
      <c r="I968" s="2121"/>
      <c r="K968" s="2152">
        <f>JS889</f>
        <v>0</v>
      </c>
      <c r="L968" s="2152">
        <f>JT889</f>
        <v>49</v>
      </c>
      <c r="M968" s="2152">
        <f>JU889</f>
        <v>29</v>
      </c>
      <c r="N968" s="2152">
        <f>JV889</f>
        <v>17</v>
      </c>
      <c r="O968" s="2152">
        <f>JW889</f>
        <v>0</v>
      </c>
      <c r="P968" s="2152">
        <f t="shared" ref="P968:P983" si="362">SUM(K968:O968)</f>
        <v>95</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6803</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6597</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6810</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6805</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6806</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6591</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7119</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7121</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49</v>
      </c>
      <c r="M991" s="2152">
        <f t="shared" si="366"/>
        <v>29</v>
      </c>
      <c r="N991" s="2152">
        <f t="shared" si="366"/>
        <v>17</v>
      </c>
      <c r="O991" s="2152">
        <f t="shared" si="366"/>
        <v>0</v>
      </c>
      <c r="P991" s="2152">
        <f t="shared" si="364"/>
        <v>95</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7047</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6819</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3829</v>
      </c>
      <c r="I997" s="2112"/>
      <c r="K997" s="2166">
        <f>EI889</f>
        <v>0</v>
      </c>
      <c r="L997" s="2166">
        <f>EJ889</f>
        <v>2600</v>
      </c>
      <c r="M997" s="2166">
        <f>EK889</f>
        <v>2550</v>
      </c>
      <c r="N997" s="2166">
        <f>EL889</f>
        <v>1100</v>
      </c>
      <c r="O997" s="2166">
        <f>EM889</f>
        <v>0</v>
      </c>
      <c r="P997" s="2171">
        <f t="shared" ref="P997:P1003" si="367">SUM(K997:O997)</f>
        <v>6250</v>
      </c>
      <c r="Q997" s="2172">
        <f t="shared" ref="Q997:Q1003" si="368">IF(OR(P896=0,P896=""),"",P997/P896)</f>
        <v>781.25</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3830</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22750</v>
      </c>
      <c r="M999" s="2171">
        <f>EU889</f>
        <v>17000</v>
      </c>
      <c r="N999" s="2171">
        <f>EV889</f>
        <v>13200</v>
      </c>
      <c r="O999" s="2171">
        <f>EW889</f>
        <v>0</v>
      </c>
      <c r="P999" s="2171">
        <f t="shared" si="367"/>
        <v>52950</v>
      </c>
      <c r="Q999" s="2172">
        <f t="shared" si="368"/>
        <v>790.29850746268653</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0</v>
      </c>
      <c r="M1000" s="2171">
        <f>EZ889</f>
        <v>0</v>
      </c>
      <c r="N1000" s="2171">
        <f>FA889</f>
        <v>0</v>
      </c>
      <c r="O1000" s="2171">
        <f>FB889</f>
        <v>0</v>
      </c>
      <c r="P1000" s="2171">
        <f t="shared" si="367"/>
        <v>0</v>
      </c>
      <c r="Q1000" s="2172" t="str">
        <f t="shared" si="368"/>
        <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3831</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3832</v>
      </c>
      <c r="I1002" s="2121"/>
      <c r="K1002" s="2171">
        <f>FH889</f>
        <v>0</v>
      </c>
      <c r="L1002" s="2171">
        <f>FI889</f>
        <v>6500</v>
      </c>
      <c r="M1002" s="2171">
        <f>FJ889</f>
        <v>5100</v>
      </c>
      <c r="N1002" s="2171">
        <f>FK889</f>
        <v>4400</v>
      </c>
      <c r="O1002" s="2171">
        <f>FL889</f>
        <v>0</v>
      </c>
      <c r="P1002" s="2171">
        <f t="shared" si="367"/>
        <v>16000</v>
      </c>
      <c r="Q1002" s="2172">
        <f t="shared" si="368"/>
        <v>800</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3833</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3914</v>
      </c>
      <c r="I1004" s="2170"/>
      <c r="J1004" s="2154"/>
      <c r="K1004" s="2173">
        <f>SUM(K997:K1003)</f>
        <v>0</v>
      </c>
      <c r="L1004" s="2173">
        <f>SUM(L997:L1003)</f>
        <v>31850</v>
      </c>
      <c r="M1004" s="2173">
        <f>SUM(M997:M1003)</f>
        <v>24650</v>
      </c>
      <c r="N1004" s="2173">
        <f>SUM(N997:N1003)</f>
        <v>18700</v>
      </c>
      <c r="O1004" s="2173">
        <f>SUM(O997:O1003)</f>
        <v>0</v>
      </c>
      <c r="P1004" s="2173">
        <f>SUM(K1004:O1004)</f>
        <v>75200</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31850</v>
      </c>
      <c r="M1006" s="2173">
        <f>SUM(M1004:M1005)</f>
        <v>24650</v>
      </c>
      <c r="N1006" s="2173">
        <f>SUM(N1004:N1005)</f>
        <v>18700</v>
      </c>
      <c r="O1006" s="2173">
        <f>SUM(O1004:O1005)</f>
        <v>0</v>
      </c>
      <c r="P1006" s="2173">
        <f>SUM(K1006:O1006)</f>
        <v>75200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31850</v>
      </c>
      <c r="M1008" s="2171">
        <f>SUM(M1006:M1007)</f>
        <v>24650</v>
      </c>
      <c r="N1008" s="2171">
        <f>SUM(N1006:N1007)</f>
        <v>18700</v>
      </c>
      <c r="O1008" s="2171">
        <f>SUM(O1006:O1007)</f>
        <v>0</v>
      </c>
      <c r="P1008" s="2171">
        <f>SUM(K1008:O1008)</f>
        <v>75200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7122</v>
      </c>
      <c r="K1011" s="2174" t="str">
        <f>IF(OR(K907="",K907=0),"",K1008/K907)</f>
        <v/>
      </c>
      <c r="L1011" s="2174">
        <f>IF(OR(L907="",L907=0),"",L1008/L907)</f>
        <v>650</v>
      </c>
      <c r="M1011" s="2174">
        <f>IF(OR(M907="",M907=0),"",M1008/M907)</f>
        <v>850</v>
      </c>
      <c r="N1011" s="2174">
        <f>IF(OR(N907="",N907=0),"",N1008/N907)</f>
        <v>1100</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7123</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15873.326400000002</v>
      </c>
      <c r="I1016" s="2176"/>
      <c r="J1016" s="2176"/>
      <c r="K1016" s="1719"/>
      <c r="L1016" s="2115" t="s">
        <v>7048</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7049</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7050</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7049</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7050</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7049</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7050</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7049</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7050</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52701</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97584</v>
      </c>
      <c r="G1058" s="2189"/>
      <c r="I1058" s="1818" t="s">
        <v>1329</v>
      </c>
      <c r="L1058" s="2189">
        <f>'Part VI-Revenues &amp; Expenses'!L218</f>
        <v>2700</v>
      </c>
      <c r="M1058" s="2189"/>
      <c r="O1058" s="2190">
        <f>+Q1057/(P907*0.93)</f>
        <v>596.50254668930381</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58551</v>
      </c>
      <c r="G1059" s="2189"/>
      <c r="I1059" s="1818" t="s">
        <v>1330</v>
      </c>
      <c r="L1059" s="2189">
        <f>'Part VI-Revenues &amp; Expenses'!L219</f>
        <v>2600</v>
      </c>
      <c r="M1059" s="2189"/>
      <c r="O1059" s="2190">
        <f>+Q1057/(P907*0.93)/12</f>
        <v>49.708545557441987</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5300</v>
      </c>
      <c r="M1060" s="2171"/>
      <c r="O1060" s="435" t="s">
        <v>3354</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4220</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4221</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156135</v>
      </c>
      <c r="G1064" s="2171"/>
      <c r="I1064" s="1818" t="s">
        <v>1536</v>
      </c>
      <c r="L1064" s="2189">
        <f>'Part VI-Revenues &amp; Expenses'!L224</f>
        <v>5000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5000</v>
      </c>
      <c r="M1065" s="2189"/>
      <c r="N1065" s="1719" t="str">
        <f>IF(Q1067="","",IF(Q1065&lt;Q1067, "WARNING! OE below required minimum.",""))</f>
        <v/>
      </c>
      <c r="O1065" s="1818" t="s">
        <v>2091</v>
      </c>
      <c r="Q1065" s="2174">
        <f>F1064+F1073+F1084+L1060+L1068+L1077+L1084+Q1057</f>
        <v>476819</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0</v>
      </c>
      <c r="M1066" s="2189"/>
      <c r="N1066" s="1719"/>
      <c r="O1066" s="2156" t="s">
        <v>2588</v>
      </c>
      <c r="P1066" s="2190">
        <f>+Q1065/P907</f>
        <v>5019.1473684210523</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6756</v>
      </c>
    </row>
    <row r="1067" spans="2:380" s="1818" customFormat="1" ht="15.6" customHeight="1">
      <c r="B1067" s="1818" t="s">
        <v>1323</v>
      </c>
      <c r="D1067" s="2192"/>
      <c r="F1067" s="2189">
        <f>'Part VI-Revenues &amp; Expenses'!F227</f>
        <v>1000</v>
      </c>
      <c r="G1067" s="2189"/>
      <c r="I1067" s="2193" t="str">
        <f>'Part VI-Revenues &amp; Expenses'!I227</f>
        <v>Other (describe here)</v>
      </c>
      <c r="J1067" s="2193"/>
      <c r="K1067" s="2193"/>
      <c r="L1067" s="2189">
        <f>'Part VI-Revenues &amp; Expenses'!L227</f>
        <v>0</v>
      </c>
      <c r="M1067" s="2189"/>
      <c r="N1067" s="1719"/>
      <c r="P1067" s="2156" t="s">
        <v>3355</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2500</v>
      </c>
      <c r="G1068" s="2189"/>
      <c r="K1068" s="2191" t="s">
        <v>183</v>
      </c>
      <c r="L1068" s="2174">
        <f>SUM(L1064:L1067)</f>
        <v>10000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1483</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6757</v>
      </c>
    </row>
    <row r="1071" spans="2:380" s="1818" customFormat="1" ht="15.6" customHeight="1">
      <c r="B1071" s="1818" t="s">
        <v>1534</v>
      </c>
      <c r="D1071" s="2192"/>
      <c r="F1071" s="2189">
        <f>'Part VI-Revenues &amp; Expenses'!F231</f>
        <v>12091</v>
      </c>
      <c r="G1071" s="2189"/>
      <c r="I1071" s="1818" t="s">
        <v>1326</v>
      </c>
      <c r="K1071" s="1857" t="s">
        <v>4063</v>
      </c>
      <c r="O1071" s="1818" t="s">
        <v>3206</v>
      </c>
      <c r="Q1071" s="2194">
        <f>'Part VI-Revenues &amp; Expenses'!Q231</f>
        <v>23750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30.701754385964911</v>
      </c>
      <c r="L1072" s="2189">
        <f>'Part VI-Revenues &amp; Expenses'!L232</f>
        <v>35000</v>
      </c>
      <c r="M1072" s="2189"/>
      <c r="N1072" s="1719" t="str">
        <f>IF(Q1071&lt;Q1080, "WARNING! RR proposed is below the DCA required minimum.","")</f>
        <v/>
      </c>
      <c r="O1072" s="435" t="s">
        <v>4062</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17074</v>
      </c>
      <c r="G1073" s="2171"/>
      <c r="I1073" s="1818" t="s">
        <v>1320</v>
      </c>
      <c r="K1073" s="2010">
        <f>L1073/12/P907</f>
        <v>0</v>
      </c>
      <c r="L1073" s="2189">
        <f>'Part VI-Revenues &amp; Expenses'!L233</f>
        <v>0</v>
      </c>
      <c r="M1073" s="2189"/>
      <c r="N1073" s="1719"/>
      <c r="O1073" s="2196" t="s">
        <v>3362</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4120</v>
      </c>
      <c r="K1074" s="2010">
        <f>L1074/12/P907</f>
        <v>61.228070175438603</v>
      </c>
      <c r="L1074" s="2189">
        <f>'Part VI-Revenues &amp; Expenses'!L234</f>
        <v>69800</v>
      </c>
      <c r="M1074" s="2189"/>
      <c r="N1074" s="1719"/>
      <c r="O1074" s="2197" t="s">
        <v>2561</v>
      </c>
      <c r="P1074" s="2198" t="s">
        <v>3419</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6690</v>
      </c>
    </row>
    <row r="1075" spans="1:380" s="1818" customFormat="1" ht="15.75" customHeight="1">
      <c r="B1075" s="1818" t="s">
        <v>1245</v>
      </c>
      <c r="D1075" s="2192"/>
      <c r="I1075" s="1818" t="s">
        <v>1322</v>
      </c>
      <c r="L1075" s="2189">
        <f>'Part VI-Revenues &amp; Expenses'!L235</f>
        <v>7500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0</v>
      </c>
      <c r="G1076" s="2189"/>
      <c r="I1076" s="2193" t="str">
        <f>'Part VI-Revenues &amp; Expenses'!I236</f>
        <v>Other (describe here)</v>
      </c>
      <c r="J1076" s="2193"/>
      <c r="K1076" s="2193"/>
      <c r="L1076" s="2189">
        <f>'Part VI-Revenues &amp; Expenses'!L236</f>
        <v>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12600</v>
      </c>
      <c r="G1077" s="2189"/>
      <c r="K1077" s="2191" t="s">
        <v>183</v>
      </c>
      <c r="L1077" s="2174">
        <f>SUM(L1072:L1076)</f>
        <v>112300</v>
      </c>
      <c r="M1077" s="2174"/>
      <c r="N1077" s="1719"/>
      <c r="O1077" s="1864" t="s">
        <v>3171</v>
      </c>
      <c r="P1077" s="2199" t="str">
        <f>CONCATENATE(SUM(MK889:MO889)," units x $",'DCA Underwriting Assumptions'!$Q$69," =")</f>
        <v>95 units x $250 =</v>
      </c>
      <c r="Q1077" s="2199">
        <f>SUM(MK889:MO889)*'DCA Underwriting Assumptions'!$Q$69</f>
        <v>23750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30400</v>
      </c>
      <c r="G1078" s="2189"/>
      <c r="N1078" s="1719"/>
      <c r="O1078" s="1864" t="s">
        <v>6831</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5409</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6758</v>
      </c>
    </row>
    <row r="1080" spans="1:380" s="1818" customFormat="1" ht="15.6" customHeight="1">
      <c r="B1080" s="1818" t="s">
        <v>965</v>
      </c>
      <c r="D1080" s="2192"/>
      <c r="F1080" s="2189">
        <f>'Part VI-Revenues &amp; Expenses'!F240</f>
        <v>6720</v>
      </c>
      <c r="G1080" s="2189"/>
      <c r="I1080" s="1818" t="s">
        <v>1327</v>
      </c>
      <c r="O1080" s="2141" t="s">
        <v>2564</v>
      </c>
      <c r="P1080" s="2200">
        <f>SUM(MF889:MJ889)+SUM(MK889:MO889)+SUM(MP889:MT889)+P965</f>
        <v>95</v>
      </c>
      <c r="Q1080" s="2200">
        <f>SUM(Q1076:Q1079)</f>
        <v>23750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7124</v>
      </c>
      <c r="L1081" s="2189">
        <f>'Part VI-Revenues &amp; Expenses'!L241</f>
        <v>5000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3180</v>
      </c>
      <c r="G1082" s="2189"/>
      <c r="I1082" s="1818" t="s">
        <v>139</v>
      </c>
      <c r="L1082" s="2189">
        <f>'Part VI-Revenues &amp; Expenses'!L242</f>
        <v>60000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6759</v>
      </c>
    </row>
    <row r="1084" spans="1:380" s="1818" customFormat="1" ht="15.6" customHeight="1">
      <c r="E1084" s="2191" t="s">
        <v>183</v>
      </c>
      <c r="F1084" s="2171">
        <f>SUM(F1076:G1083)</f>
        <v>58309</v>
      </c>
      <c r="G1084" s="2171"/>
      <c r="K1084" s="2191" t="s">
        <v>183</v>
      </c>
      <c r="L1084" s="2174">
        <f>SUM(L1080:L1083)</f>
        <v>65000</v>
      </c>
      <c r="M1084" s="2174"/>
      <c r="O1084" s="1818" t="s">
        <v>2092</v>
      </c>
      <c r="Q1084" s="2174">
        <f>Q1065+Q1071</f>
        <v>500569</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4052</v>
      </c>
      <c r="C1088" s="2191"/>
      <c r="H1088" s="2152"/>
      <c r="I1088" s="2201" t="s">
        <v>4053</v>
      </c>
      <c r="K1088" s="2182">
        <f>'Part VI-Revenues &amp; Expenses'!K248</f>
        <v>0</v>
      </c>
      <c r="L1088" s="2182"/>
      <c r="M1088" s="2105" t="s">
        <v>4090</v>
      </c>
      <c r="N1088" s="2122">
        <f>'Part VI-Revenues &amp; Expenses'!N248</f>
        <v>0</v>
      </c>
      <c r="O1088" s="1818" t="s">
        <v>4055</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4091</v>
      </c>
      <c r="C1090" s="2191"/>
      <c r="F1090" s="2152"/>
      <c r="G1090" s="2152"/>
      <c r="J1090" s="2110" t="str">
        <f>'Part VI-Revenues &amp; Expenses'!J250</f>
        <v>&lt;&lt;Select&gt;&gt;</v>
      </c>
      <c r="K1090" s="2201" t="s">
        <v>4093</v>
      </c>
      <c r="L1090" s="2110" t="str">
        <f>'Part VI-Revenues &amp; Expenses'!L250</f>
        <v>&lt;&lt;Select&gt;&gt;</v>
      </c>
      <c r="M1090" s="2108" t="s">
        <v>4094</v>
      </c>
      <c r="N1090" s="2122">
        <f>'Part VI-Revenues &amp; Expenses'!N250</f>
        <v>0</v>
      </c>
      <c r="O1090" s="1818" t="s">
        <v>4092</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6760</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3524</v>
      </c>
      <c r="B1092" s="1852" t="s">
        <v>543</v>
      </c>
      <c r="N1092" s="1852" t="s">
        <v>4051</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The Rents are based on annual OCAF increase from Rent Schedule included in TAB 02.  The property recieves an annual OCAF increase (approx. 2.0%) annually from HUD.  This project will be Tax Exempt per the State of Georgia Private Enterprise Agreement, see opinion in TAB 02.  We have budgeted $5,000 for non-exempt annual taxes/fees.   Property Insurance estimate is based on the estimate provided by our insurance carrier of $59,164 (rounded to $60,000), please see in TAB 02.  
</v>
      </c>
      <c r="B1093" s="1956"/>
      <c r="C1093" s="1956"/>
      <c r="D1093" s="1956"/>
      <c r="E1093" s="1956"/>
      <c r="F1093" s="1956"/>
      <c r="G1093" s="1956"/>
      <c r="H1093" s="1956"/>
      <c r="I1093" s="1956"/>
      <c r="J1093" s="1956"/>
      <c r="K1093" s="1956"/>
      <c r="L1093" s="1956"/>
      <c r="M1093" s="1956"/>
      <c r="N1093" s="1956"/>
      <c r="O1093" s="1956"/>
      <c r="P1093" s="1956"/>
      <c r="Q1093" s="1956"/>
      <c r="R1093" s="1855" t="s">
        <v>3523</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2021-018 Roswell Redevelopment Phase I, ,  County</v>
      </c>
      <c r="B1098" s="1924"/>
      <c r="C1098" s="1924"/>
      <c r="D1098" s="1924"/>
      <c r="E1098" s="1924"/>
      <c r="F1098" s="1924"/>
      <c r="G1098" s="1924"/>
      <c r="H1098" s="1924"/>
      <c r="I1098" s="1924"/>
      <c r="J1098" s="1924"/>
      <c r="K1098" s="1924"/>
      <c r="L1098" s="1818"/>
      <c r="M1098" s="1818"/>
      <c r="N1098" s="1818" t="str">
        <f>A1098</f>
        <v>PART SEVEN - OPERATING PRO FORMA  -  2021-018 Roswell Redevelopment Phase I,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
May 10 Rev</v>
      </c>
      <c r="D1100" s="1852" t="s">
        <v>75</v>
      </c>
      <c r="E1100" s="2108"/>
      <c r="F1100" s="1859" t="s">
        <v>7051</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7125</v>
      </c>
      <c r="E1102" s="2158"/>
      <c r="F1102" s="2158"/>
      <c r="G1102" s="2204">
        <f>'Part VII-Pro Forma'!G6</f>
        <v>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7.0000000000000007E-2</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793666.32000000007</v>
      </c>
      <c r="C1111" s="2213">
        <f>'Part VII-Pro Forma'!C15</f>
        <v>809539.64640000009</v>
      </c>
      <c r="D1111" s="2213">
        <f>'Part VII-Pro Forma'!D15</f>
        <v>825730.43932800007</v>
      </c>
      <c r="E1111" s="2213">
        <f>'Part VII-Pro Forma'!E15</f>
        <v>842245.04811455996</v>
      </c>
      <c r="F1111" s="2213">
        <f>'Part VII-Pro Forma'!F15</f>
        <v>859089.94907685125</v>
      </c>
      <c r="G1111" s="2213">
        <f>'Part VII-Pro Forma'!G15</f>
        <v>876271.74805838836</v>
      </c>
      <c r="H1111" s="2213">
        <f>'Part VII-Pro Forma'!H15</f>
        <v>893797.18301955611</v>
      </c>
      <c r="I1111" s="2213">
        <f>'Part VII-Pro Forma'!I15</f>
        <v>911673.12667994702</v>
      </c>
      <c r="J1111" s="2213">
        <f>'Part VII-Pro Forma'!J15</f>
        <v>929906.58921354602</v>
      </c>
      <c r="K1111" s="2213">
        <f>'Part VII-Pro Forma'!K15</f>
        <v>948504.720997817</v>
      </c>
      <c r="N1111" s="2043"/>
      <c r="O1111" s="2043"/>
      <c r="S1111" s="2114" t="s">
        <v>3560</v>
      </c>
      <c r="Z1111" s="1924" t="s">
        <v>6771</v>
      </c>
      <c r="AA1111" s="2051">
        <v>15</v>
      </c>
    </row>
    <row r="1112" spans="1:27" s="1852" customFormat="1" ht="13.35" customHeight="1">
      <c r="A1112" s="1852" t="s">
        <v>977</v>
      </c>
      <c r="B1112" s="2213">
        <f>'Part VII-Pro Forma'!B16</f>
        <v>15873.326400000002</v>
      </c>
      <c r="C1112" s="2213">
        <f>'Part VII-Pro Forma'!C16</f>
        <v>16190.792928000003</v>
      </c>
      <c r="D1112" s="2213">
        <f>'Part VII-Pro Forma'!D16</f>
        <v>16514.608786560002</v>
      </c>
      <c r="E1112" s="2213">
        <f>'Part VII-Pro Forma'!E16</f>
        <v>16844.900962291202</v>
      </c>
      <c r="F1112" s="2213">
        <f>'Part VII-Pro Forma'!F16</f>
        <v>17181.798981537024</v>
      </c>
      <c r="G1112" s="2213">
        <f>'Part VII-Pro Forma'!G16</f>
        <v>17525.434961167768</v>
      </c>
      <c r="H1112" s="2213">
        <f>'Part VII-Pro Forma'!H16</f>
        <v>17875.943660391124</v>
      </c>
      <c r="I1112" s="2213">
        <f>'Part VII-Pro Forma'!I16</f>
        <v>18233.46253359894</v>
      </c>
      <c r="J1112" s="2213">
        <f>'Part VII-Pro Forma'!J16</f>
        <v>18598.131784270921</v>
      </c>
      <c r="K1112" s="2213">
        <f>'Part VII-Pro Forma'!K16</f>
        <v>18970.094419956342</v>
      </c>
      <c r="N1112" s="2043"/>
      <c r="O1112" s="2043"/>
      <c r="S1112" s="2114"/>
      <c r="Z1112" s="1924" t="s">
        <v>6771</v>
      </c>
      <c r="AA1112" s="2051">
        <v>16</v>
      </c>
    </row>
    <row r="1113" spans="1:27" s="1852" customFormat="1" ht="13.35" customHeight="1">
      <c r="A1113" s="1852" t="s">
        <v>2295</v>
      </c>
      <c r="B1113" s="2213">
        <f>'Part VII-Pro Forma'!B17</f>
        <v>-56667.775248000013</v>
      </c>
      <c r="C1113" s="2213">
        <f>'Part VII-Pro Forma'!C17</f>
        <v>-57801.130752960009</v>
      </c>
      <c r="D1113" s="2213">
        <f>'Part VII-Pro Forma'!D17</f>
        <v>-58957.153368019208</v>
      </c>
      <c r="E1113" s="2213">
        <f>'Part VII-Pro Forma'!E17</f>
        <v>-60136.296435379583</v>
      </c>
      <c r="F1113" s="2213">
        <f>'Part VII-Pro Forma'!F17</f>
        <v>-61339.022364087185</v>
      </c>
      <c r="G1113" s="2213">
        <f>'Part VII-Pro Forma'!G17</f>
        <v>-62565.802811368936</v>
      </c>
      <c r="H1113" s="2213">
        <f>'Part VII-Pro Forma'!H17</f>
        <v>-63817.118867596313</v>
      </c>
      <c r="I1113" s="2213">
        <f>'Part VII-Pro Forma'!I17</f>
        <v>-65093.461244948216</v>
      </c>
      <c r="J1113" s="2213">
        <f>'Part VII-Pro Forma'!J17</f>
        <v>-66395.330469847191</v>
      </c>
      <c r="K1113" s="2213">
        <f>'Part VII-Pro Forma'!K17</f>
        <v>-67723.237079244136</v>
      </c>
      <c r="N1113" s="2043"/>
      <c r="O1113" s="2043"/>
      <c r="Q1113" s="2114" t="s">
        <v>3437</v>
      </c>
      <c r="R1113" s="2114" t="s">
        <v>3559</v>
      </c>
      <c r="S1113" s="2114"/>
      <c r="Z1113" s="1924" t="s">
        <v>6771</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6771</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6771</v>
      </c>
      <c r="AA1115" s="1929">
        <v>19</v>
      </c>
    </row>
    <row r="1116" spans="1:27" s="1852" customFormat="1" ht="13.35" customHeight="1">
      <c r="A1116" s="1852" t="s">
        <v>4013</v>
      </c>
      <c r="B1116" s="2213">
        <f>'Part VII-Pro Forma'!B20</f>
        <v>752871.87115200004</v>
      </c>
      <c r="C1116" s="2213">
        <f>'Part VII-Pro Forma'!C20</f>
        <v>767929.30857504008</v>
      </c>
      <c r="D1116" s="2213">
        <f>'Part VII-Pro Forma'!D20</f>
        <v>783287.89474654081</v>
      </c>
      <c r="E1116" s="2213">
        <f>'Part VII-Pro Forma'!E20</f>
        <v>798953.65264147159</v>
      </c>
      <c r="F1116" s="2213">
        <f>'Part VII-Pro Forma'!F20</f>
        <v>814932.72569430107</v>
      </c>
      <c r="G1116" s="2213">
        <f>'Part VII-Pro Forma'!G20</f>
        <v>831231.38020818715</v>
      </c>
      <c r="H1116" s="2213">
        <f>'Part VII-Pro Forma'!H20</f>
        <v>847856.00781235099</v>
      </c>
      <c r="I1116" s="2213">
        <f>'Part VII-Pro Forma'!I20</f>
        <v>864813.12796859769</v>
      </c>
      <c r="J1116" s="2213">
        <f>'Part VII-Pro Forma'!J20</f>
        <v>882109.39052796969</v>
      </c>
      <c r="K1116" s="2213">
        <f>'Part VII-Pro Forma'!K20</f>
        <v>899751.57833852922</v>
      </c>
      <c r="N1116" s="2043"/>
      <c r="O1116" s="2043"/>
      <c r="Z1116" s="1924" t="s">
        <v>6771</v>
      </c>
      <c r="AA1116" s="2051">
        <v>20</v>
      </c>
    </row>
    <row r="1117" spans="1:27" s="1852" customFormat="1" ht="13.35" customHeight="1">
      <c r="A1117" s="1852" t="s">
        <v>585</v>
      </c>
      <c r="B1117" s="2213">
        <f>'Part VII-Pro Forma'!B21</f>
        <v>-424118</v>
      </c>
      <c r="C1117" s="2213">
        <f>'Part VII-Pro Forma'!C21</f>
        <v>-436841.54000000004</v>
      </c>
      <c r="D1117" s="2213">
        <f>'Part VII-Pro Forma'!D21</f>
        <v>-449946.78619999997</v>
      </c>
      <c r="E1117" s="2213">
        <f>'Part VII-Pro Forma'!E21</f>
        <v>-463445.189786</v>
      </c>
      <c r="F1117" s="2213">
        <f>'Part VII-Pro Forma'!F21</f>
        <v>-477348.54547957995</v>
      </c>
      <c r="G1117" s="2213">
        <f>'Part VII-Pro Forma'!G21</f>
        <v>-491669.00184396736</v>
      </c>
      <c r="H1117" s="2213">
        <f>'Part VII-Pro Forma'!H21</f>
        <v>-506419.07189928641</v>
      </c>
      <c r="I1117" s="2213">
        <f>'Part VII-Pro Forma'!I21</f>
        <v>-521611.64405626501</v>
      </c>
      <c r="J1117" s="2213">
        <f>'Part VII-Pro Forma'!J21</f>
        <v>-537259.99337795284</v>
      </c>
      <c r="K1117" s="2213">
        <f>'Part VII-Pro Forma'!K21</f>
        <v>-553377.79317929153</v>
      </c>
      <c r="N1117" s="2043"/>
      <c r="O1117" s="2043"/>
      <c r="Q1117" s="2051">
        <v>1</v>
      </c>
      <c r="R1117" s="2140">
        <f>-B1128</f>
        <v>64835.375364369451</v>
      </c>
      <c r="S1117" s="2140">
        <f>B1129+R1117</f>
        <v>64835.375364369451</v>
      </c>
      <c r="Z1117" s="1924" t="s">
        <v>6771</v>
      </c>
      <c r="AA1117" s="2051">
        <v>21</v>
      </c>
    </row>
    <row r="1118" spans="1:27" s="1852" customFormat="1" ht="13.35" customHeight="1">
      <c r="A1118" s="1852" t="s">
        <v>1075</v>
      </c>
      <c r="B1118" s="2213">
        <f>'Part VII-Pro Forma'!B22</f>
        <v>-52701</v>
      </c>
      <c r="C1118" s="2213">
        <f>'Part VII-Pro Forma'!C22</f>
        <v>-53755</v>
      </c>
      <c r="D1118" s="2213">
        <f>'Part VII-Pro Forma'!D22</f>
        <v>-54830</v>
      </c>
      <c r="E1118" s="2213">
        <f>'Part VII-Pro Forma'!E22</f>
        <v>-55927</v>
      </c>
      <c r="F1118" s="2213">
        <f>'Part VII-Pro Forma'!F22</f>
        <v>-57045</v>
      </c>
      <c r="G1118" s="2213">
        <f>'Part VII-Pro Forma'!G22</f>
        <v>-58186</v>
      </c>
      <c r="H1118" s="2213">
        <f>'Part VII-Pro Forma'!H22</f>
        <v>-59350</v>
      </c>
      <c r="I1118" s="2213">
        <f>'Part VII-Pro Forma'!I22</f>
        <v>-60537</v>
      </c>
      <c r="J1118" s="2213">
        <f>'Part VII-Pro Forma'!J22</f>
        <v>-61748</v>
      </c>
      <c r="K1118" s="2213">
        <f>'Part VII-Pro Forma'!K22</f>
        <v>-62983</v>
      </c>
      <c r="N1118" s="2043"/>
      <c r="O1118" s="2043"/>
      <c r="Q1118" s="2051">
        <v>2</v>
      </c>
      <c r="R1118" s="2140">
        <f>-SUM(B1128:C1128)</f>
        <v>130238.14815177891</v>
      </c>
      <c r="S1118" s="2140">
        <f>SUM(B1129:C1129)+R1118</f>
        <v>130238.14815177891</v>
      </c>
      <c r="Z1118" s="1924" t="s">
        <v>6771</v>
      </c>
      <c r="AA1118" s="2051">
        <v>22</v>
      </c>
    </row>
    <row r="1119" spans="1:27" s="1852" customFormat="1" ht="13.35" customHeight="1">
      <c r="A1119" s="1852" t="s">
        <v>1156</v>
      </c>
      <c r="B1119" s="2213">
        <f>'Part VII-Pro Forma'!B23</f>
        <v>-23750</v>
      </c>
      <c r="C1119" s="2213">
        <f>'Part VII-Pro Forma'!C23</f>
        <v>-24462.5</v>
      </c>
      <c r="D1119" s="2213">
        <f>'Part VII-Pro Forma'!D23</f>
        <v>-25196.375</v>
      </c>
      <c r="E1119" s="2213">
        <f>'Part VII-Pro Forma'!E23</f>
        <v>-25952.266250000001</v>
      </c>
      <c r="F1119" s="2213">
        <f>'Part VII-Pro Forma'!F23</f>
        <v>-26730.834237499999</v>
      </c>
      <c r="G1119" s="2213">
        <f>'Part VII-Pro Forma'!G23</f>
        <v>-27532.759264624998</v>
      </c>
      <c r="H1119" s="2213">
        <f>'Part VII-Pro Forma'!H23</f>
        <v>-28358.742042563747</v>
      </c>
      <c r="I1119" s="2213">
        <f>'Part VII-Pro Forma'!I23</f>
        <v>-29209.504303840662</v>
      </c>
      <c r="J1119" s="2213">
        <f>'Part VII-Pro Forma'!J23</f>
        <v>-30085.789432955877</v>
      </c>
      <c r="K1119" s="2213">
        <f>'Part VII-Pro Forma'!K23</f>
        <v>-30988.363115944554</v>
      </c>
      <c r="N1119" s="2043"/>
      <c r="O1119" s="2043"/>
      <c r="Q1119" s="2051">
        <v>3</v>
      </c>
      <c r="R1119" s="2140">
        <f>-SUM(B1128:D1128)</f>
        <v>196085.38591068916</v>
      </c>
      <c r="S1119" s="2140">
        <f>SUM(B1129:D1129)+R1119</f>
        <v>196085.38591068916</v>
      </c>
      <c r="Z1119" s="1924" t="s">
        <v>6771</v>
      </c>
      <c r="AA1119" s="2051">
        <v>23</v>
      </c>
    </row>
    <row r="1120" spans="1:27" s="1852" customFormat="1" ht="13.35" customHeight="1">
      <c r="A1120" s="1852" t="s">
        <v>4012</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262247.08672853018</v>
      </c>
      <c r="S1120" s="2140">
        <f>SUM(B1129:E1129)+R1120</f>
        <v>262247.08672853018</v>
      </c>
      <c r="Z1120" s="1924" t="s">
        <v>6771</v>
      </c>
      <c r="AA1120" s="1929">
        <v>24</v>
      </c>
    </row>
    <row r="1121" spans="1:27" s="1852" customFormat="1" ht="13.35" customHeight="1">
      <c r="A1121" s="1852" t="s">
        <v>1157</v>
      </c>
      <c r="B1121" s="2213">
        <f>'Part VII-Pro Forma'!B25</f>
        <v>252302.87115200004</v>
      </c>
      <c r="C1121" s="2213">
        <f>'Part VII-Pro Forma'!C25</f>
        <v>252870.26857504004</v>
      </c>
      <c r="D1121" s="2213">
        <f>'Part VII-Pro Forma'!D25</f>
        <v>253314.73354654084</v>
      </c>
      <c r="E1121" s="2213">
        <f>'Part VII-Pro Forma'!E25</f>
        <v>253629.1966054716</v>
      </c>
      <c r="F1121" s="2213">
        <f>'Part VII-Pro Forma'!F25</f>
        <v>253808.34597722112</v>
      </c>
      <c r="G1121" s="2213">
        <f>'Part VII-Pro Forma'!G25</f>
        <v>253843.6190995948</v>
      </c>
      <c r="H1121" s="2213">
        <f>'Part VII-Pro Forma'!H25</f>
        <v>253728.19387050084</v>
      </c>
      <c r="I1121" s="2213">
        <f>'Part VII-Pro Forma'!I25</f>
        <v>253454.97960849202</v>
      </c>
      <c r="J1121" s="2213">
        <f>'Part VII-Pro Forma'!J25</f>
        <v>253015.60771706098</v>
      </c>
      <c r="K1121" s="2213">
        <f>'Part VII-Pro Forma'!K25</f>
        <v>252402.42204329313</v>
      </c>
      <c r="N1121" s="2043"/>
      <c r="O1121" s="2043"/>
      <c r="Q1121" s="2051">
        <v>5</v>
      </c>
      <c r="R1121" s="2140">
        <f>-SUM(B1128:F1128)</f>
        <v>328587.93691812071</v>
      </c>
      <c r="S1121" s="2140">
        <f>SUM(B1129:F1129)+R1121</f>
        <v>328587.93691812071</v>
      </c>
      <c r="Z1121" s="1924" t="s">
        <v>6771</v>
      </c>
      <c r="AA1121" s="2051">
        <v>25</v>
      </c>
    </row>
    <row r="1122" spans="1:27" s="1852" customFormat="1" ht="13.35" customHeight="1">
      <c r="A1122" s="1852" t="s">
        <v>1525</v>
      </c>
      <c r="B1122" s="2214">
        <f>'Part VII-Pro Forma'!B26</f>
        <v>-187467.49578763059</v>
      </c>
      <c r="C1122" s="2214">
        <f>'Part VII-Pro Forma'!C26</f>
        <v>-187467.49578763059</v>
      </c>
      <c r="D1122" s="2214">
        <f>'Part VII-Pro Forma'!D26</f>
        <v>-187467.49578763059</v>
      </c>
      <c r="E1122" s="2214">
        <f>'Part VII-Pro Forma'!E26</f>
        <v>-187467.49578763059</v>
      </c>
      <c r="F1122" s="2214">
        <f>'Part VII-Pro Forma'!F26</f>
        <v>-187467.49578763059</v>
      </c>
      <c r="G1122" s="2214">
        <f>'Part VII-Pro Forma'!G26</f>
        <v>-187467.49578763059</v>
      </c>
      <c r="H1122" s="2214">
        <f>'Part VII-Pro Forma'!H26</f>
        <v>-187467.49578763059</v>
      </c>
      <c r="I1122" s="2214">
        <f>'Part VII-Pro Forma'!I26</f>
        <v>-187467.49578763059</v>
      </c>
      <c r="J1122" s="2214">
        <f>'Part VII-Pro Forma'!J26</f>
        <v>-187467.49578763059</v>
      </c>
      <c r="K1122" s="2214">
        <f>'Part VII-Pro Forma'!K26</f>
        <v>-187467.49578763059</v>
      </c>
      <c r="N1122" s="2043"/>
      <c r="O1122" s="2043"/>
      <c r="Q1122" s="2051">
        <v>6</v>
      </c>
      <c r="R1122" s="2140">
        <f>-SUM(B1128:G1128)</f>
        <v>357417.13068950898</v>
      </c>
      <c r="S1122" s="2140">
        <f>SUM(B1129:G1129)+R1122</f>
        <v>394964.06023008493</v>
      </c>
      <c r="Z1122" s="1924" t="s">
        <v>6771</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357417.13068950898</v>
      </c>
      <c r="S1123" s="2140">
        <f>SUM(B1129:H1129)+R1123</f>
        <v>461224.75831295515</v>
      </c>
      <c r="Z1123" s="1924" t="s">
        <v>6771</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357417.13068950898</v>
      </c>
      <c r="S1124" s="2140">
        <f>SUM(B1129:I1129)+R1124</f>
        <v>527212.24213381659</v>
      </c>
      <c r="Z1124" s="1924" t="s">
        <v>6771</v>
      </c>
      <c r="AA1124" s="2051">
        <v>28</v>
      </c>
    </row>
    <row r="1125" spans="1:27" s="1852" customFormat="1" ht="13.35" customHeight="1">
      <c r="A1125" s="1852" t="s">
        <v>3420</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357417.13068950898</v>
      </c>
      <c r="S1125" s="2140">
        <f>SUM(B1129:J1129)+R1125</f>
        <v>592760.35406324698</v>
      </c>
      <c r="Z1125" s="1924" t="s">
        <v>6771</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357417.13068950898</v>
      </c>
      <c r="S1126" s="2140">
        <f>SUM(B1129:K1129)+R1126</f>
        <v>657695.28031890956</v>
      </c>
      <c r="Z1126" s="1924" t="s">
        <v>6771</v>
      </c>
      <c r="AA1126" s="2051">
        <v>30</v>
      </c>
    </row>
    <row r="1127" spans="1:27" s="1852" customFormat="1" ht="13.35" customHeight="1">
      <c r="A1127" s="1852" t="s">
        <v>1121</v>
      </c>
      <c r="B1127" s="2214">
        <f>'Part VII-Pro Forma'!B31</f>
        <v>0</v>
      </c>
      <c r="C1127" s="2214">
        <f>'Part VII-Pro Forma'!C31</f>
        <v>0</v>
      </c>
      <c r="D1127" s="2214">
        <f>'Part VII-Pro Forma'!D31</f>
        <v>0</v>
      </c>
      <c r="E1127" s="2214">
        <f>'Part VII-Pro Forma'!E31</f>
        <v>0</v>
      </c>
      <c r="F1127" s="2214">
        <f>'Part VII-Pro Forma'!F31</f>
        <v>0</v>
      </c>
      <c r="G1127" s="2214">
        <f>'Part VII-Pro Forma'!G31</f>
        <v>0</v>
      </c>
      <c r="H1127" s="2214">
        <f>'Part VII-Pro Forma'!H31</f>
        <v>0</v>
      </c>
      <c r="I1127" s="2214">
        <f>'Part VII-Pro Forma'!I31</f>
        <v>0</v>
      </c>
      <c r="J1127" s="2214">
        <f>'Part VII-Pro Forma'!J31</f>
        <v>0</v>
      </c>
      <c r="K1127" s="2214">
        <f>'Part VII-Pro Forma'!K31</f>
        <v>0</v>
      </c>
      <c r="N1127" s="2043"/>
      <c r="O1127" s="2043"/>
      <c r="Q1127" s="2051">
        <v>11</v>
      </c>
      <c r="R1127" s="2140">
        <f>-SUM(B1128:K1128)-B1160</f>
        <v>357417.13068950898</v>
      </c>
      <c r="S1127" s="2140">
        <f>SUM(B1129:K1129)+B1161+R1127</f>
        <v>721835.25345248566</v>
      </c>
      <c r="Z1127" s="1924" t="s">
        <v>6771</v>
      </c>
      <c r="AA1127" s="2051">
        <v>31</v>
      </c>
    </row>
    <row r="1128" spans="1:27" s="1852" customFormat="1" ht="13.35" customHeight="1">
      <c r="A1128" s="1852" t="s">
        <v>3508</v>
      </c>
      <c r="B1128" s="2214">
        <f>'Part VII-Pro Forma'!B32</f>
        <v>-64835.375364369451</v>
      </c>
      <c r="C1128" s="2214">
        <f>'Part VII-Pro Forma'!C32</f>
        <v>-65402.772787409456</v>
      </c>
      <c r="D1128" s="2214">
        <f>'Part VII-Pro Forma'!D32</f>
        <v>-65847.237758910254</v>
      </c>
      <c r="E1128" s="2214">
        <f>'Part VII-Pro Forma'!E32</f>
        <v>-66161.700817841018</v>
      </c>
      <c r="F1128" s="2214">
        <f>'Part VII-Pro Forma'!F32</f>
        <v>-66340.850189590536</v>
      </c>
      <c r="G1128" s="2214">
        <f>'Part VII-Pro Forma'!G32</f>
        <v>-28829.193771388265</v>
      </c>
      <c r="H1128" s="2214">
        <f>'Part VII-Pro Forma'!H32</f>
        <v>0</v>
      </c>
      <c r="I1128" s="2214">
        <f>'Part VII-Pro Forma'!I32</f>
        <v>0</v>
      </c>
      <c r="J1128" s="2214">
        <f>'Part VII-Pro Forma'!J32</f>
        <v>0</v>
      </c>
      <c r="K1128" s="2214">
        <f>'Part VII-Pro Forma'!K32</f>
        <v>0</v>
      </c>
      <c r="N1128" s="2043"/>
      <c r="O1128" s="2043"/>
      <c r="Q1128" s="2051">
        <v>12</v>
      </c>
      <c r="R1128" s="2140">
        <f>-SUM(B1128:K1128) - SUM(B1160:C1160)</f>
        <v>357417.13068950898</v>
      </c>
      <c r="S1128" s="2140">
        <f>SUM(B1129:K1129) + SUM(B1161:C1161)+R1128</f>
        <v>784988.24455464468</v>
      </c>
      <c r="Z1128" s="1924" t="s">
        <v>6771</v>
      </c>
      <c r="AA1128" s="2051">
        <v>32</v>
      </c>
    </row>
    <row r="1129" spans="1:27" s="1852" customFormat="1" ht="13.35" customHeight="1">
      <c r="A1129" s="1852" t="s">
        <v>1122</v>
      </c>
      <c r="B1129" s="2213">
        <f>'Part VII-Pro Forma'!B33</f>
        <v>0</v>
      </c>
      <c r="C1129" s="2213">
        <f>'Part VII-Pro Forma'!C33</f>
        <v>0</v>
      </c>
      <c r="D1129" s="2213">
        <f>'Part VII-Pro Forma'!D33</f>
        <v>0</v>
      </c>
      <c r="E1129" s="2213">
        <f>'Part VII-Pro Forma'!E33</f>
        <v>0</v>
      </c>
      <c r="F1129" s="2213">
        <f>'Part VII-Pro Forma'!F33</f>
        <v>0</v>
      </c>
      <c r="G1129" s="2213">
        <f>'Part VII-Pro Forma'!G33</f>
        <v>37546.929540575948</v>
      </c>
      <c r="H1129" s="2213">
        <f>'Part VII-Pro Forma'!H33</f>
        <v>66260.698082870251</v>
      </c>
      <c r="I1129" s="2213">
        <f>'Part VII-Pro Forma'!I33</f>
        <v>65987.483820861438</v>
      </c>
      <c r="J1129" s="2213">
        <f>'Part VII-Pro Forma'!J33</f>
        <v>65548.111929430394</v>
      </c>
      <c r="K1129" s="2213">
        <f>'Part VII-Pro Forma'!K33</f>
        <v>64934.926255662547</v>
      </c>
      <c r="N1129" s="2043"/>
      <c r="O1129" s="2043"/>
      <c r="Q1129" s="2051">
        <v>13</v>
      </c>
      <c r="R1129" s="2140">
        <f>-SUM(B1128:K1128) - SUM(B1160:D1160)</f>
        <v>357417.13068950898</v>
      </c>
      <c r="S1129" s="2140">
        <f>SUM(B1129:K1129) + SUM(B1161:D1161)+R1129</f>
        <v>846953.64484246355</v>
      </c>
      <c r="Z1129" s="1924" t="s">
        <v>6771</v>
      </c>
      <c r="AA1129" s="1929">
        <v>33</v>
      </c>
    </row>
    <row r="1130" spans="1:27" s="1852" customFormat="1" ht="13.35" customHeight="1">
      <c r="A1130" s="1852" t="str">
        <f>IF('Part III-Sources of Funds'!$E$40 = "Neither", "", "DCR Mortgage A")</f>
        <v>DCR Mortgage A</v>
      </c>
      <c r="B1130" s="2215">
        <f>'Part VII-Pro Forma'!B34</f>
        <v>1.3458486234745308</v>
      </c>
      <c r="C1130" s="2215">
        <f>'Part VII-Pro Forma'!C34</f>
        <v>1.3488752677504152</v>
      </c>
      <c r="D1130" s="2215">
        <f>'Part VII-Pro Forma'!D34</f>
        <v>1.3512461586060989</v>
      </c>
      <c r="E1130" s="2215">
        <f>'Part VII-Pro Forma'!E34</f>
        <v>1.3529235857121129</v>
      </c>
      <c r="F1130" s="2215">
        <f>'Part VII-Pro Forma'!F34</f>
        <v>1.3538792146919361</v>
      </c>
      <c r="G1130" s="2215">
        <f>'Part VII-Pro Forma'!G34</f>
        <v>1.3540673706291853</v>
      </c>
      <c r="H1130" s="2215">
        <f>'Part VII-Pro Forma'!H34</f>
        <v>1.3534516626708055</v>
      </c>
      <c r="I1130" s="2215">
        <f>'Part VII-Pro Forma'!I34</f>
        <v>1.351994267292151</v>
      </c>
      <c r="J1130" s="2215">
        <f>'Part VII-Pro Forma'!J34</f>
        <v>1.349650544239869</v>
      </c>
      <c r="K1130" s="2215">
        <f>'Part VII-Pro Forma'!K34</f>
        <v>1.3463796536185824</v>
      </c>
      <c r="N1130" s="2043"/>
      <c r="O1130" s="2043"/>
      <c r="Q1130" s="2051">
        <v>14</v>
      </c>
      <c r="R1130" s="2140">
        <f>-SUM(B1128:K1128) - SUM(B1160:E1160)</f>
        <v>357417.13068950898</v>
      </c>
      <c r="S1130" s="2140">
        <f>SUM(B1129:K1129) + SUM(B1161:E1161)+R1130</f>
        <v>907522.93628309132</v>
      </c>
      <c r="Z1130" s="1924" t="s">
        <v>6771</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357417.13068950898</v>
      </c>
      <c r="S1131" s="2140">
        <f>SUM(B1129:K1129) + SUM(B1161:F1161)+R1131</f>
        <v>966475.35089652275</v>
      </c>
      <c r="Z1131" s="1924" t="s">
        <v>6771</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357417.13068950898</v>
      </c>
      <c r="S1132" s="2140">
        <f>SUM(B1129:K1129) + SUM(B1161:G1161)+R1132</f>
        <v>1023581.5183690613</v>
      </c>
      <c r="Z1132" s="1924" t="s">
        <v>6771</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357417.13068950898</v>
      </c>
      <c r="S1133" s="2140">
        <f>SUM(B1129:K1129) + SUM(B1161:H1161)+R1133</f>
        <v>1078602.1015974218</v>
      </c>
      <c r="Z1133" s="1924" t="s">
        <v>6771</v>
      </c>
      <c r="AA1133" s="2051">
        <v>37</v>
      </c>
    </row>
    <row r="1134" spans="1:27" s="1852" customFormat="1" ht="13.35" customHeight="1">
      <c r="A1134" s="1852" t="s">
        <v>3343</v>
      </c>
      <c r="B1134" s="2215">
        <f>'Part VII-Pro Forma'!B38</f>
        <v>1.3458486234745308</v>
      </c>
      <c r="C1134" s="2215">
        <f>'Part VII-Pro Forma'!C38</f>
        <v>1.3488752677504152</v>
      </c>
      <c r="D1134" s="2215">
        <f>'Part VII-Pro Forma'!D38</f>
        <v>1.3512461586060989</v>
      </c>
      <c r="E1134" s="2215">
        <f>'Part VII-Pro Forma'!E38</f>
        <v>1.3529235857121129</v>
      </c>
      <c r="F1134" s="2215">
        <f>'Part VII-Pro Forma'!F38</f>
        <v>1.3538792146919361</v>
      </c>
      <c r="G1134" s="2215">
        <f>'Part VII-Pro Forma'!G38</f>
        <v>1.3540673706291853</v>
      </c>
      <c r="H1134" s="2215">
        <f>'Part VII-Pro Forma'!H38</f>
        <v>1.3534516626708055</v>
      </c>
      <c r="I1134" s="2215">
        <f>'Part VII-Pro Forma'!I38</f>
        <v>1.351994267292151</v>
      </c>
      <c r="J1134" s="2215">
        <f>'Part VII-Pro Forma'!J38</f>
        <v>1.349650544239869</v>
      </c>
      <c r="K1134" s="2215">
        <f>'Part VII-Pro Forma'!K38</f>
        <v>1.3463796536185824</v>
      </c>
      <c r="N1134" s="2043"/>
      <c r="O1134" s="2043"/>
      <c r="Q1134" s="2051">
        <v>18</v>
      </c>
      <c r="R1134" s="2140">
        <f>-SUM(B1128:K1128) - SUM(B1160:I1160)</f>
        <v>357417.13068950898</v>
      </c>
      <c r="S1134" s="2140">
        <f>SUM(B1129:K1129) + SUM(B1161:I1161)+R1134</f>
        <v>1131285.4197714394</v>
      </c>
      <c r="Z1134" s="1924" t="s">
        <v>6771</v>
      </c>
      <c r="AA1134" s="2051">
        <v>38</v>
      </c>
    </row>
    <row r="1135" spans="1:27" s="1852" customFormat="1" ht="13.35" customHeight="1">
      <c r="A1135" s="1852" t="s">
        <v>740</v>
      </c>
      <c r="B1135" s="2215">
        <f>'Part VII-Pro Forma'!B39</f>
        <v>1.5040321537130745</v>
      </c>
      <c r="C1135" s="2215">
        <f>'Part VII-Pro Forma'!C39</f>
        <v>1.490953946901</v>
      </c>
      <c r="D1135" s="2215">
        <f>'Part VII-Pro Forma'!D39</f>
        <v>1.4779765318171376</v>
      </c>
      <c r="E1135" s="2215">
        <f>'Part VII-Pro Forma'!E39</f>
        <v>1.4650977849941282</v>
      </c>
      <c r="F1135" s="2215">
        <f>'Part VII-Pro Forma'!F39</f>
        <v>1.452321009657773</v>
      </c>
      <c r="G1135" s="2215">
        <f>'Part VII-Pro Forma'!G39</f>
        <v>1.4396414960584054</v>
      </c>
      <c r="H1135" s="2215">
        <f>'Part VII-Pro Forma'!H39</f>
        <v>1.4270599489141813</v>
      </c>
      <c r="I1135" s="2215">
        <f>'Part VII-Pro Forma'!I39</f>
        <v>1.4145769223627007</v>
      </c>
      <c r="J1135" s="2215">
        <f>'Part VII-Pro Forma'!J39</f>
        <v>1.4021906027850726</v>
      </c>
      <c r="K1135" s="2215">
        <f>'Part VII-Pro Forma'!K39</f>
        <v>1.3899015231405973</v>
      </c>
      <c r="N1135" s="2043"/>
      <c r="O1135" s="2043"/>
      <c r="Q1135" s="2051">
        <v>19</v>
      </c>
      <c r="R1135" s="2140">
        <f>-SUM(B1128:K1128) - SUM(B1160:J1160)</f>
        <v>357417.13068950898</v>
      </c>
      <c r="S1135" s="2140">
        <f>SUM(B1129:K1129) + SUM(B1161:J1161)+R1135</f>
        <v>1181369.058590987</v>
      </c>
      <c r="Z1135" s="1924" t="s">
        <v>6771</v>
      </c>
      <c r="AA1135" s="2051">
        <v>39</v>
      </c>
    </row>
    <row r="1136" spans="1:27" s="1852" customFormat="1" ht="13.35" customHeight="1">
      <c r="A1136" s="1852" t="s">
        <v>2493</v>
      </c>
      <c r="B1136" s="2214">
        <f>'Part VII-Pro Forma'!B40</f>
        <v>2969300.7911627418</v>
      </c>
      <c r="C1136" s="2214">
        <f>'Part VII-Pro Forma'!C40</f>
        <v>2936950.5209531756</v>
      </c>
      <c r="D1136" s="2214">
        <f>'Part VII-Pro Forma'!D40</f>
        <v>2902860.3921755957</v>
      </c>
      <c r="E1136" s="2214">
        <f>'Part VII-Pro Forma'!E40</f>
        <v>2866936.8319535754</v>
      </c>
      <c r="F1136" s="2214">
        <f>'Part VII-Pro Forma'!F40</f>
        <v>2829081.234884847</v>
      </c>
      <c r="G1136" s="2214">
        <f>'Part VII-Pro Forma'!G40</f>
        <v>2789189.692382568</v>
      </c>
      <c r="H1136" s="2214">
        <f>'Part VII-Pro Forma'!H40</f>
        <v>2747152.7074600477</v>
      </c>
      <c r="I1136" s="2214">
        <f>'Part VII-Pro Forma'!I40</f>
        <v>2702854.8941760603</v>
      </c>
      <c r="J1136" s="2214">
        <f>'Part VII-Pro Forma'!J40</f>
        <v>2656174.6609157594</v>
      </c>
      <c r="K1136" s="2214">
        <f>'Part VII-Pro Forma'!K40</f>
        <v>2606983.8766378411</v>
      </c>
      <c r="N1136" s="2043"/>
      <c r="O1136" s="2043"/>
      <c r="Q1136" s="2051">
        <v>20</v>
      </c>
      <c r="R1136" s="2140">
        <f>-SUM(B1128:K1128) - SUM(B1160:K1160)</f>
        <v>357417.13068950898</v>
      </c>
      <c r="S1136" s="2140">
        <f>SUM(B1129:K1129) + SUM(B1161:K1161)+R1136</f>
        <v>1228579.4671999642</v>
      </c>
      <c r="Z1136" s="1924" t="s">
        <v>6771</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6771</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6771</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6771</v>
      </c>
      <c r="AA1139" s="2051">
        <v>43</v>
      </c>
    </row>
    <row r="1140" spans="1:27" s="1852" customFormat="1" ht="13.35" customHeight="1">
      <c r="A1140" s="1852" t="s">
        <v>3509</v>
      </c>
      <c r="B1140" s="2214">
        <f>'Part VII-Pro Forma'!B44</f>
        <v>292581.7553251395</v>
      </c>
      <c r="C1140" s="2214">
        <f>'Part VII-Pro Forma'!C44</f>
        <v>227178.98253773004</v>
      </c>
      <c r="D1140" s="2214">
        <f>'Part VII-Pro Forma'!D44</f>
        <v>161331.74477881979</v>
      </c>
      <c r="E1140" s="2214">
        <f>'Part VII-Pro Forma'!E44</f>
        <v>95170.043960978772</v>
      </c>
      <c r="F1140" s="2214">
        <f>'Part VII-Pro Forma'!F44</f>
        <v>28829.193771388236</v>
      </c>
      <c r="G1140" s="2214">
        <f>'Part VII-Pro Forma'!G44</f>
        <v>0</v>
      </c>
      <c r="H1140" s="2214">
        <f>'Part VII-Pro Forma'!H44</f>
        <v>0</v>
      </c>
      <c r="I1140" s="2214">
        <f>'Part VII-Pro Forma'!I44</f>
        <v>0</v>
      </c>
      <c r="J1140" s="2214">
        <f>'Part VII-Pro Forma'!J44</f>
        <v>0</v>
      </c>
      <c r="K1140" s="2214">
        <f>'Part VII-Pro Forma'!K44</f>
        <v>0</v>
      </c>
      <c r="N1140" s="2043"/>
      <c r="O1140" s="2043"/>
      <c r="Z1140" s="1924" t="s">
        <v>6771</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967474.81541777332</v>
      </c>
      <c r="C1143" s="2213">
        <f>'Part VII-Pro Forma'!C47</f>
        <v>986824.31172612868</v>
      </c>
      <c r="D1143" s="2213">
        <f>'Part VII-Pro Forma'!D47</f>
        <v>1006560.7979606513</v>
      </c>
      <c r="E1143" s="2213">
        <f>'Part VII-Pro Forma'!E47</f>
        <v>1026692.0139198643</v>
      </c>
      <c r="F1143" s="2213">
        <f>'Part VII-Pro Forma'!F47</f>
        <v>1047225.8541982617</v>
      </c>
      <c r="G1143" s="2213">
        <f>'Part VII-Pro Forma'!G47</f>
        <v>1068170.3712822266</v>
      </c>
      <c r="H1143" s="2213">
        <f>'Part VII-Pro Forma'!H47</f>
        <v>1089533.7787078714</v>
      </c>
      <c r="I1143" s="2213">
        <f>'Part VII-Pro Forma'!I47</f>
        <v>1111324.4542820288</v>
      </c>
      <c r="J1143" s="2213">
        <f>'Part VII-Pro Forma'!J47</f>
        <v>1133550.9433676694</v>
      </c>
      <c r="K1143" s="2213">
        <f>'Part VII-Pro Forma'!K47</f>
        <v>1156221.9622350228</v>
      </c>
      <c r="N1143" s="2043"/>
      <c r="O1143" s="2043"/>
      <c r="Z1143" s="1924" t="s">
        <v>6772</v>
      </c>
      <c r="AA1143" s="1929">
        <v>47</v>
      </c>
    </row>
    <row r="1144" spans="1:27" s="1852" customFormat="1" ht="13.35" customHeight="1">
      <c r="A1144" s="1852" t="s">
        <v>977</v>
      </c>
      <c r="B1144" s="2213">
        <f>'Part VII-Pro Forma'!B48</f>
        <v>19349.496308355468</v>
      </c>
      <c r="C1144" s="2213">
        <f>'Part VII-Pro Forma'!C48</f>
        <v>19736.486234522574</v>
      </c>
      <c r="D1144" s="2213">
        <f>'Part VII-Pro Forma'!D48</f>
        <v>20131.21595921303</v>
      </c>
      <c r="E1144" s="2213">
        <f>'Part VII-Pro Forma'!E48</f>
        <v>20533.840278397289</v>
      </c>
      <c r="F1144" s="2213">
        <f>'Part VII-Pro Forma'!F48</f>
        <v>20944.517083965235</v>
      </c>
      <c r="G1144" s="2213">
        <f>'Part VII-Pro Forma'!G48</f>
        <v>21363.407425644535</v>
      </c>
      <c r="H1144" s="2213">
        <f>'Part VII-Pro Forma'!H48</f>
        <v>21790.675574157431</v>
      </c>
      <c r="I1144" s="2213">
        <f>'Part VII-Pro Forma'!I48</f>
        <v>22226.48908564058</v>
      </c>
      <c r="J1144" s="2213">
        <f>'Part VII-Pro Forma'!J48</f>
        <v>22671.018867353388</v>
      </c>
      <c r="K1144" s="2213">
        <f>'Part VII-Pro Forma'!K48</f>
        <v>23124.439244700454</v>
      </c>
      <c r="N1144" s="2043"/>
      <c r="O1144" s="2043"/>
      <c r="Z1144" s="1924" t="s">
        <v>6772</v>
      </c>
      <c r="AA1144" s="2051">
        <v>48</v>
      </c>
    </row>
    <row r="1145" spans="1:27" s="1852" customFormat="1" ht="13.35" customHeight="1">
      <c r="A1145" s="1852" t="s">
        <v>2295</v>
      </c>
      <c r="B1145" s="2213">
        <f>'Part VII-Pro Forma'!B49</f>
        <v>-69077.701820829025</v>
      </c>
      <c r="C1145" s="2213">
        <f>'Part VII-Pro Forma'!C49</f>
        <v>-70459.255857245589</v>
      </c>
      <c r="D1145" s="2213">
        <f>'Part VII-Pro Forma'!D49</f>
        <v>-71868.440974390513</v>
      </c>
      <c r="E1145" s="2213">
        <f>'Part VII-Pro Forma'!E49</f>
        <v>-73305.809793878318</v>
      </c>
      <c r="F1145" s="2213">
        <f>'Part VII-Pro Forma'!F49</f>
        <v>-74771.925989755895</v>
      </c>
      <c r="G1145" s="2213">
        <f>'Part VII-Pro Forma'!G49</f>
        <v>-76267.364509550986</v>
      </c>
      <c r="H1145" s="2213">
        <f>'Part VII-Pro Forma'!H49</f>
        <v>-77792.711799742028</v>
      </c>
      <c r="I1145" s="2213">
        <f>'Part VII-Pro Forma'!I49</f>
        <v>-79348.566035736862</v>
      </c>
      <c r="J1145" s="2213">
        <f>'Part VII-Pro Forma'!J49</f>
        <v>-80935.537356451605</v>
      </c>
      <c r="K1145" s="2213">
        <f>'Part VII-Pro Forma'!K49</f>
        <v>-82554.248103580627</v>
      </c>
      <c r="N1145" s="2043"/>
      <c r="O1145" s="2043"/>
      <c r="Z1145" s="1924" t="s">
        <v>6772</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6772</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6772</v>
      </c>
      <c r="AA1147" s="2051">
        <v>51</v>
      </c>
    </row>
    <row r="1148" spans="1:27" s="1852" customFormat="1" ht="13.35" customHeight="1">
      <c r="A1148" s="1852" t="s">
        <v>4013</v>
      </c>
      <c r="B1148" s="2213">
        <f>'Part VII-Pro Forma'!B52</f>
        <v>917746.60990529973</v>
      </c>
      <c r="C1148" s="2213">
        <f>'Part VII-Pro Forma'!C52</f>
        <v>936101.54210340558</v>
      </c>
      <c r="D1148" s="2213">
        <f>'Part VII-Pro Forma'!D52</f>
        <v>954823.57294547383</v>
      </c>
      <c r="E1148" s="2213">
        <f>'Part VII-Pro Forma'!E52</f>
        <v>973920.04440438328</v>
      </c>
      <c r="F1148" s="2213">
        <f>'Part VII-Pro Forma'!F52</f>
        <v>993398.44529247098</v>
      </c>
      <c r="G1148" s="2213">
        <f>'Part VII-Pro Forma'!G52</f>
        <v>1013266.4141983202</v>
      </c>
      <c r="H1148" s="2213">
        <f>'Part VII-Pro Forma'!H52</f>
        <v>1033531.7424822868</v>
      </c>
      <c r="I1148" s="2213">
        <f>'Part VII-Pro Forma'!I52</f>
        <v>1054202.3773319325</v>
      </c>
      <c r="J1148" s="2213">
        <f>'Part VII-Pro Forma'!J52</f>
        <v>1075286.4248785712</v>
      </c>
      <c r="K1148" s="2213">
        <f>'Part VII-Pro Forma'!K52</f>
        <v>1096792.1533761425</v>
      </c>
      <c r="N1148" s="2043"/>
      <c r="O1148" s="2043"/>
      <c r="Z1148" s="1924" t="s">
        <v>6772</v>
      </c>
      <c r="AA1148" s="2051">
        <v>52</v>
      </c>
    </row>
    <row r="1149" spans="1:27" s="1852" customFormat="1" ht="13.35" customHeight="1">
      <c r="A1149" s="1852" t="s">
        <v>585</v>
      </c>
      <c r="B1149" s="2213">
        <f>'Part VII-Pro Forma'!B53</f>
        <v>-569979.12697467022</v>
      </c>
      <c r="C1149" s="2213">
        <f>'Part VII-Pro Forma'!C53</f>
        <v>-587078.50078391039</v>
      </c>
      <c r="D1149" s="2213">
        <f>'Part VII-Pro Forma'!D53</f>
        <v>-604690.85580742755</v>
      </c>
      <c r="E1149" s="2213">
        <f>'Part VII-Pro Forma'!E53</f>
        <v>-622831.58148165036</v>
      </c>
      <c r="F1149" s="2213">
        <f>'Part VII-Pro Forma'!F53</f>
        <v>-641516.5289261</v>
      </c>
      <c r="G1149" s="2213">
        <f>'Part VII-Pro Forma'!G53</f>
        <v>-660762.02479388297</v>
      </c>
      <c r="H1149" s="2213">
        <f>'Part VII-Pro Forma'!H53</f>
        <v>-680584.88553769933</v>
      </c>
      <c r="I1149" s="2213">
        <f>'Part VII-Pro Forma'!I53</f>
        <v>-701002.43210383039</v>
      </c>
      <c r="J1149" s="2213">
        <f>'Part VII-Pro Forma'!J53</f>
        <v>-722032.50506694533</v>
      </c>
      <c r="K1149" s="2213">
        <f>'Part VII-Pro Forma'!K53</f>
        <v>-743693.48021895357</v>
      </c>
      <c r="N1149" s="2043"/>
      <c r="O1149" s="2043"/>
      <c r="Z1149" s="1924" t="s">
        <v>6772</v>
      </c>
      <c r="AA1149" s="2051">
        <v>53</v>
      </c>
    </row>
    <row r="1150" spans="1:27" s="1852" customFormat="1" ht="13.35" customHeight="1">
      <c r="A1150" s="1852" t="s">
        <v>1075</v>
      </c>
      <c r="B1150" s="2213">
        <f>'Part VII-Pro Forma'!B54</f>
        <v>-64242</v>
      </c>
      <c r="C1150" s="2213">
        <f>'Part VII-Pro Forma'!C54</f>
        <v>-65527</v>
      </c>
      <c r="D1150" s="2213">
        <f>'Part VII-Pro Forma'!D54</f>
        <v>-66838</v>
      </c>
      <c r="E1150" s="2213">
        <f>'Part VII-Pro Forma'!E54</f>
        <v>-68174</v>
      </c>
      <c r="F1150" s="2213">
        <f>'Part VII-Pro Forma'!F54</f>
        <v>-69538</v>
      </c>
      <c r="G1150" s="2213">
        <f>'Part VII-Pro Forma'!G54</f>
        <v>-70929</v>
      </c>
      <c r="H1150" s="2213">
        <f>'Part VII-Pro Forma'!H54</f>
        <v>-72347</v>
      </c>
      <c r="I1150" s="2213">
        <f>'Part VII-Pro Forma'!I54</f>
        <v>-73794</v>
      </c>
      <c r="J1150" s="2213">
        <f>'Part VII-Pro Forma'!J54</f>
        <v>-75270</v>
      </c>
      <c r="K1150" s="2213">
        <f>'Part VII-Pro Forma'!K54</f>
        <v>-76775</v>
      </c>
      <c r="N1150" s="2043"/>
      <c r="O1150" s="2043"/>
      <c r="Z1150" s="1924" t="s">
        <v>6772</v>
      </c>
      <c r="AA1150" s="2051">
        <v>54</v>
      </c>
    </row>
    <row r="1151" spans="1:27" s="1852" customFormat="1" ht="13.35" customHeight="1">
      <c r="A1151" s="1852" t="s">
        <v>1156</v>
      </c>
      <c r="B1151" s="2213">
        <f>'Part VII-Pro Forma'!B55</f>
        <v>-31918.014009422892</v>
      </c>
      <c r="C1151" s="2213">
        <f>'Part VII-Pro Forma'!C55</f>
        <v>-32875.554429705582</v>
      </c>
      <c r="D1151" s="2213">
        <f>'Part VII-Pro Forma'!D55</f>
        <v>-33861.82106259674</v>
      </c>
      <c r="E1151" s="2213">
        <f>'Part VII-Pro Forma'!E55</f>
        <v>-34877.675694474645</v>
      </c>
      <c r="F1151" s="2213">
        <f>'Part VII-Pro Forma'!F55</f>
        <v>-35924.005965308883</v>
      </c>
      <c r="G1151" s="2213">
        <f>'Part VII-Pro Forma'!G55</f>
        <v>-37001.726144268156</v>
      </c>
      <c r="H1151" s="2213">
        <f>'Part VII-Pro Forma'!H55</f>
        <v>-38111.777928596195</v>
      </c>
      <c r="I1151" s="2213">
        <f>'Part VII-Pro Forma'!I55</f>
        <v>-39255.131266454082</v>
      </c>
      <c r="J1151" s="2213">
        <f>'Part VII-Pro Forma'!J55</f>
        <v>-40432.785204447704</v>
      </c>
      <c r="K1151" s="2213">
        <f>'Part VII-Pro Forma'!K55</f>
        <v>-41645.76876058113</v>
      </c>
      <c r="N1151" s="2043"/>
      <c r="O1151" s="2043"/>
      <c r="Q1151" s="2051">
        <v>10</v>
      </c>
      <c r="R1151" s="2140">
        <f>-SUM(B1157:K1157)</f>
        <v>0</v>
      </c>
      <c r="S1151" s="2140">
        <f>SUM(B1158:K1158)+R1151</f>
        <v>0</v>
      </c>
      <c r="Z1151" s="1924" t="s">
        <v>6772</v>
      </c>
      <c r="AA1151" s="2051">
        <v>55</v>
      </c>
    </row>
    <row r="1152" spans="1:27" s="1852" customFormat="1" ht="13.35" customHeight="1">
      <c r="A1152" s="1852" t="s">
        <v>4012</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6772</v>
      </c>
      <c r="AA1152" s="2051">
        <v>56</v>
      </c>
    </row>
    <row r="1153" spans="1:27" s="1852" customFormat="1" ht="13.35" customHeight="1">
      <c r="A1153" s="1852" t="s">
        <v>1157</v>
      </c>
      <c r="B1153" s="2213">
        <f>'Part VII-Pro Forma'!B57</f>
        <v>251607.46892120663</v>
      </c>
      <c r="C1153" s="2213">
        <f>'Part VII-Pro Forma'!C57</f>
        <v>250620.48688978961</v>
      </c>
      <c r="D1153" s="2213">
        <f>'Part VII-Pro Forma'!D57</f>
        <v>249432.89607544953</v>
      </c>
      <c r="E1153" s="2213">
        <f>'Part VII-Pro Forma'!E57</f>
        <v>248036.78722825827</v>
      </c>
      <c r="F1153" s="2213">
        <f>'Part VII-Pro Forma'!F57</f>
        <v>246419.91040106211</v>
      </c>
      <c r="G1153" s="2213">
        <f>'Part VII-Pro Forma'!G57</f>
        <v>244573.66326016912</v>
      </c>
      <c r="H1153" s="2213">
        <f>'Part VII-Pro Forma'!H57</f>
        <v>242488.07901599124</v>
      </c>
      <c r="I1153" s="2213">
        <f>'Part VII-Pro Forma'!I57</f>
        <v>240150.81396164806</v>
      </c>
      <c r="J1153" s="2213">
        <f>'Part VII-Pro Forma'!J57</f>
        <v>237551.13460717816</v>
      </c>
      <c r="K1153" s="2213">
        <f>'Part VII-Pro Forma'!K57</f>
        <v>234677.9043966078</v>
      </c>
      <c r="N1153" s="2043"/>
      <c r="O1153" s="2043"/>
      <c r="Z1153" s="1924" t="s">
        <v>6772</v>
      </c>
      <c r="AA1153" s="2051">
        <v>57</v>
      </c>
    </row>
    <row r="1154" spans="1:27" s="1852" customFormat="1" ht="13.35" customHeight="1">
      <c r="A1154" s="1852" t="str">
        <f>$A1122</f>
        <v>Mortgage A</v>
      </c>
      <c r="B1154" s="2214">
        <f>'Part VII-Pro Forma'!B58</f>
        <v>-187467.49578763059</v>
      </c>
      <c r="C1154" s="2214">
        <f>'Part VII-Pro Forma'!C58</f>
        <v>-187467.49578763059</v>
      </c>
      <c r="D1154" s="2214">
        <f>'Part VII-Pro Forma'!D58</f>
        <v>-187467.49578763059</v>
      </c>
      <c r="E1154" s="2214">
        <f>'Part VII-Pro Forma'!E58</f>
        <v>-187467.49578763059</v>
      </c>
      <c r="F1154" s="2214">
        <f>'Part VII-Pro Forma'!F58</f>
        <v>-187467.49578763059</v>
      </c>
      <c r="G1154" s="2214">
        <f>'Part VII-Pro Forma'!G58</f>
        <v>-187467.49578763059</v>
      </c>
      <c r="H1154" s="2214">
        <f>'Part VII-Pro Forma'!H58</f>
        <v>-187467.49578763059</v>
      </c>
      <c r="I1154" s="2214">
        <f>'Part VII-Pro Forma'!I58</f>
        <v>-187467.49578763059</v>
      </c>
      <c r="J1154" s="2214">
        <f>'Part VII-Pro Forma'!J58</f>
        <v>-187467.49578763059</v>
      </c>
      <c r="K1154" s="2214">
        <f>'Part VII-Pro Forma'!K58</f>
        <v>-187467.49578763059</v>
      </c>
      <c r="N1154" s="2043"/>
      <c r="O1154" s="2043"/>
      <c r="Z1154" s="1924" t="s">
        <v>6772</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6772</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6772</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6772</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6772</v>
      </c>
      <c r="AA1158" s="2051">
        <v>62</v>
      </c>
    </row>
    <row r="1159" spans="1:27" s="1852" customFormat="1" ht="13.35" customHeight="1">
      <c r="A1159" s="1852" t="s">
        <v>1121</v>
      </c>
      <c r="B1159" s="2214">
        <f>'Part VII-Pro Forma'!B63</f>
        <v>0</v>
      </c>
      <c r="C1159" s="2214">
        <f>'Part VII-Pro Forma'!C63</f>
        <v>0</v>
      </c>
      <c r="D1159" s="2214">
        <f>'Part VII-Pro Forma'!D63</f>
        <v>0</v>
      </c>
      <c r="E1159" s="2214">
        <f>'Part VII-Pro Forma'!E63</f>
        <v>0</v>
      </c>
      <c r="F1159" s="2214">
        <f>'Part VII-Pro Forma'!F63</f>
        <v>0</v>
      </c>
      <c r="G1159" s="2214">
        <f>'Part VII-Pro Forma'!G63</f>
        <v>0</v>
      </c>
      <c r="H1159" s="2214">
        <f>'Part VII-Pro Forma'!H63</f>
        <v>0</v>
      </c>
      <c r="I1159" s="2214">
        <f>'Part VII-Pro Forma'!I63</f>
        <v>0</v>
      </c>
      <c r="J1159" s="2214">
        <f>'Part VII-Pro Forma'!J63</f>
        <v>0</v>
      </c>
      <c r="K1159" s="2214">
        <f>'Part VII-Pro Forma'!K63</f>
        <v>0</v>
      </c>
      <c r="N1159" s="2043"/>
      <c r="O1159" s="2043"/>
      <c r="Z1159" s="1924" t="s">
        <v>6772</v>
      </c>
      <c r="AA1159" s="2051">
        <v>63</v>
      </c>
    </row>
    <row r="1160" spans="1:27" s="1852" customFormat="1" ht="13.35" customHeight="1">
      <c r="A1160" s="1852" t="s">
        <v>3508</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6772</v>
      </c>
      <c r="AA1160" s="2051">
        <v>64</v>
      </c>
    </row>
    <row r="1161" spans="1:27" s="1852" customFormat="1" ht="13.35" customHeight="1">
      <c r="A1161" s="1852" t="s">
        <v>1122</v>
      </c>
      <c r="B1161" s="2213">
        <f>'Part VII-Pro Forma'!B65</f>
        <v>64139.973133576044</v>
      </c>
      <c r="C1161" s="2213">
        <f>'Part VII-Pro Forma'!C65</f>
        <v>63152.991102159023</v>
      </c>
      <c r="D1161" s="2213">
        <f>'Part VII-Pro Forma'!D65</f>
        <v>61965.400287818949</v>
      </c>
      <c r="E1161" s="2213">
        <f>'Part VII-Pro Forma'!E65</f>
        <v>60569.291440627683</v>
      </c>
      <c r="F1161" s="2213">
        <f>'Part VII-Pro Forma'!F65</f>
        <v>58952.414613431523</v>
      </c>
      <c r="G1161" s="2213">
        <f>'Part VII-Pro Forma'!G65</f>
        <v>57106.167472538538</v>
      </c>
      <c r="H1161" s="2213">
        <f>'Part VII-Pro Forma'!H65</f>
        <v>55020.583228360658</v>
      </c>
      <c r="I1161" s="2213">
        <f>'Part VII-Pro Forma'!I65</f>
        <v>52683.318174017477</v>
      </c>
      <c r="J1161" s="2213">
        <f>'Part VII-Pro Forma'!J65</f>
        <v>50083.638819547574</v>
      </c>
      <c r="K1161" s="2213">
        <f>'Part VII-Pro Forma'!K65</f>
        <v>47210.408608977217</v>
      </c>
      <c r="N1161" s="2043"/>
      <c r="O1161" s="2043"/>
      <c r="Z1161" s="1924" t="s">
        <v>6772</v>
      </c>
      <c r="AA1161" s="2051">
        <v>65</v>
      </c>
    </row>
    <row r="1162" spans="1:27" s="1852" customFormat="1" ht="13.35" customHeight="1">
      <c r="A1162" s="1852" t="str">
        <f>$A1130</f>
        <v>DCR Mortgage A</v>
      </c>
      <c r="B1162" s="2215">
        <f>'Part VII-Pro Forma'!B66</f>
        <v>1.3421391685214377</v>
      </c>
      <c r="C1162" s="2215">
        <f>'Part VII-Pro Forma'!C66</f>
        <v>1.3368743516673463</v>
      </c>
      <c r="D1162" s="2215">
        <f>'Part VII-Pro Forma'!D66</f>
        <v>1.3305394357964615</v>
      </c>
      <c r="E1162" s="2215">
        <f>'Part VII-Pro Forma'!E66</f>
        <v>1.3230922309286224</v>
      </c>
      <c r="F1162" s="2215">
        <f>'Part VII-Pro Forma'!F66</f>
        <v>1.3144673926845152</v>
      </c>
      <c r="G1162" s="2215">
        <f>'Part VII-Pro Forma'!G66</f>
        <v>1.3046190339963271</v>
      </c>
      <c r="H1162" s="2215">
        <f>'Part VII-Pro Forma'!H66</f>
        <v>1.2934939894363864</v>
      </c>
      <c r="I1162" s="2215">
        <f>'Part VII-Pro Forma'!I66</f>
        <v>1.281026414486802</v>
      </c>
      <c r="J1162" s="2215">
        <f>'Part VII-Pro Forma'!J66</f>
        <v>1.2671590539422577</v>
      </c>
      <c r="K1162" s="2215">
        <f>'Part VII-Pro Forma'!K66</f>
        <v>1.2518325025393136</v>
      </c>
      <c r="N1162" s="2043"/>
      <c r="O1162" s="2043"/>
      <c r="Z1162" s="1924" t="s">
        <v>6772</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6772</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6772</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6772</v>
      </c>
      <c r="AA1165" s="2051">
        <v>69</v>
      </c>
    </row>
    <row r="1166" spans="1:27" s="1852" customFormat="1" ht="13.35" customHeight="1">
      <c r="A1166" s="1852" t="s">
        <v>3343</v>
      </c>
      <c r="B1166" s="2215">
        <f>'Part VII-Pro Forma'!B70</f>
        <v>1.3421391685214377</v>
      </c>
      <c r="C1166" s="2215">
        <f>'Part VII-Pro Forma'!C70</f>
        <v>1.3368743516673463</v>
      </c>
      <c r="D1166" s="2215">
        <f>'Part VII-Pro Forma'!D70</f>
        <v>1.3305394357964615</v>
      </c>
      <c r="E1166" s="2215">
        <f>'Part VII-Pro Forma'!E70</f>
        <v>1.3230922309286224</v>
      </c>
      <c r="F1166" s="2215">
        <f>'Part VII-Pro Forma'!F70</f>
        <v>1.3144673926845152</v>
      </c>
      <c r="G1166" s="2215">
        <f>'Part VII-Pro Forma'!G70</f>
        <v>1.3046190339963271</v>
      </c>
      <c r="H1166" s="2215">
        <f>'Part VII-Pro Forma'!H70</f>
        <v>1.2934939894363864</v>
      </c>
      <c r="I1166" s="2215">
        <f>'Part VII-Pro Forma'!I70</f>
        <v>1.281026414486802</v>
      </c>
      <c r="J1166" s="2215">
        <f>'Part VII-Pro Forma'!J70</f>
        <v>1.2671590539422577</v>
      </c>
      <c r="K1166" s="2215">
        <f>'Part VII-Pro Forma'!K70</f>
        <v>1.2518325025393136</v>
      </c>
      <c r="N1166" s="2043"/>
      <c r="O1166" s="2043"/>
      <c r="Z1166" s="1924" t="s">
        <v>6772</v>
      </c>
      <c r="AA1166" s="2051">
        <v>70</v>
      </c>
    </row>
    <row r="1167" spans="1:27" s="1852" customFormat="1" ht="13.35" customHeight="1">
      <c r="A1167" s="1852" t="s">
        <v>740</v>
      </c>
      <c r="B1167" s="2215">
        <f>'Part VII-Pro Forma'!B71</f>
        <v>1.3777100810342788</v>
      </c>
      <c r="C1167" s="2215">
        <f>'Part VII-Pro Forma'!C71</f>
        <v>1.3656125650499398</v>
      </c>
      <c r="D1167" s="2215">
        <f>'Part VII-Pro Forma'!D71</f>
        <v>1.3536095730414794</v>
      </c>
      <c r="E1167" s="2215">
        <f>'Part VII-Pro Forma'!E71</f>
        <v>1.3417034141181132</v>
      </c>
      <c r="F1167" s="2215">
        <f>'Part VII-Pro Forma'!F71</f>
        <v>1.3298888775122368</v>
      </c>
      <c r="G1167" s="2215">
        <f>'Part VII-Pro Forma'!G71</f>
        <v>1.3181682967111101</v>
      </c>
      <c r="H1167" s="2215">
        <f>'Part VII-Pro Forma'!H71</f>
        <v>1.3065419650205226</v>
      </c>
      <c r="I1167" s="2215">
        <f>'Part VII-Pro Forma'!I71</f>
        <v>1.2950068825706702</v>
      </c>
      <c r="J1167" s="2215">
        <f>'Part VII-Pro Forma'!J71</f>
        <v>1.2835634804524243</v>
      </c>
      <c r="K1167" s="2215">
        <f>'Part VII-Pro Forma'!K71</f>
        <v>1.2722120701222497</v>
      </c>
      <c r="N1167" s="2043"/>
      <c r="O1167" s="2043"/>
      <c r="Z1167" s="1924" t="s">
        <v>6772</v>
      </c>
      <c r="AA1167" s="2051">
        <v>71</v>
      </c>
    </row>
    <row r="1168" spans="1:27" s="1852" customFormat="1" ht="13.35" customHeight="1">
      <c r="A1168" s="1852" t="s">
        <v>2493</v>
      </c>
      <c r="B1168" s="2214">
        <f>'Part VII-Pro Forma'!B72</f>
        <v>2555147.5191718531</v>
      </c>
      <c r="C1168" s="2214">
        <f>'Part VII-Pro Forma'!C72</f>
        <v>2500523.3046002649</v>
      </c>
      <c r="D1168" s="2214">
        <f>'Part VII-Pro Forma'!D72</f>
        <v>2442961.2967080111</v>
      </c>
      <c r="E1168" s="2214">
        <f>'Part VII-Pro Forma'!E72</f>
        <v>2382303.4954274907</v>
      </c>
      <c r="F1168" s="2214">
        <f>'Part VII-Pro Forma'!F72</f>
        <v>2318383.4031493645</v>
      </c>
      <c r="G1168" s="2214">
        <f>'Part VII-Pro Forma'!G72</f>
        <v>2251025.567708727</v>
      </c>
      <c r="H1168" s="2214">
        <f>'Part VII-Pro Forma'!H72</f>
        <v>2180045.1007922143</v>
      </c>
      <c r="I1168" s="2214">
        <f>'Part VII-Pro Forma'!I72</f>
        <v>2105247.1704441351</v>
      </c>
      <c r="J1168" s="2214">
        <f>'Part VII-Pro Forma'!J72</f>
        <v>2026426.466278627</v>
      </c>
      <c r="K1168" s="2214">
        <f>'Part VII-Pro Forma'!K72</f>
        <v>1943366.6359299109</v>
      </c>
      <c r="N1168" s="2043"/>
      <c r="O1168" s="2043"/>
      <c r="Z1168" s="1924" t="s">
        <v>6772</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6772</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6772</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6772</v>
      </c>
      <c r="AA1171" s="2051">
        <v>75</v>
      </c>
    </row>
    <row r="1172" spans="1:27" s="1852" customFormat="1" ht="13.35" customHeight="1">
      <c r="A1172" s="1852" t="s">
        <v>3509</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6772</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1179346.4014797234</v>
      </c>
      <c r="C1175" s="2213">
        <f>'Part VII-Pro Forma'!C79</f>
        <v>1202933.3295093176</v>
      </c>
      <c r="D1175" s="2213">
        <f>'Part VII-Pro Forma'!D79</f>
        <v>1226991.9960995042</v>
      </c>
      <c r="E1175" s="2213">
        <f>'Part VII-Pro Forma'!E79</f>
        <v>1251531.8360214939</v>
      </c>
      <c r="F1175" s="2213">
        <f>'Part VII-Pro Forma'!F79</f>
        <v>1276562.472741924</v>
      </c>
      <c r="G1175" s="2213">
        <f>'Part VII-Pro Forma'!G79</f>
        <v>1302093.7221967625</v>
      </c>
      <c r="H1175" s="2213">
        <f>'Part VII-Pro Forma'!H79</f>
        <v>1328135.5966406977</v>
      </c>
      <c r="I1175" s="2213">
        <f>'Part VII-Pro Forma'!I79</f>
        <v>1354698.3085735114</v>
      </c>
      <c r="J1175" s="2213">
        <f>'Part VII-Pro Forma'!J79</f>
        <v>1381792.2747449819</v>
      </c>
      <c r="K1175" s="2213">
        <f>'Part VII-Pro Forma'!K79</f>
        <v>1409428.1202398813</v>
      </c>
      <c r="N1175" s="2043"/>
      <c r="O1175" s="2043"/>
      <c r="Z1175" s="1924" t="s">
        <v>6773</v>
      </c>
      <c r="AA1175" s="2051">
        <v>79</v>
      </c>
    </row>
    <row r="1176" spans="1:27" s="1852" customFormat="1" ht="13.35" customHeight="1">
      <c r="A1176" s="1852" t="s">
        <v>977</v>
      </c>
      <c r="B1176" s="2213">
        <f>'Part VII-Pro Forma'!B80</f>
        <v>23586.928029594466</v>
      </c>
      <c r="C1176" s="2213">
        <f>'Part VII-Pro Forma'!C80</f>
        <v>24058.666590186353</v>
      </c>
      <c r="D1176" s="2213">
        <f>'Part VII-Pro Forma'!D80</f>
        <v>24539.839921990082</v>
      </c>
      <c r="E1176" s="2213">
        <f>'Part VII-Pro Forma'!E80</f>
        <v>25030.63672042988</v>
      </c>
      <c r="F1176" s="2213">
        <f>'Part VII-Pro Forma'!F80</f>
        <v>25531.249454838478</v>
      </c>
      <c r="G1176" s="2213">
        <f>'Part VII-Pro Forma'!G80</f>
        <v>26041.874443935249</v>
      </c>
      <c r="H1176" s="2213">
        <f>'Part VII-Pro Forma'!H80</f>
        <v>26562.711932813956</v>
      </c>
      <c r="I1176" s="2213">
        <f>'Part VII-Pro Forma'!I80</f>
        <v>27093.966171470231</v>
      </c>
      <c r="J1176" s="2213">
        <f>'Part VII-Pro Forma'!J80</f>
        <v>27635.84549489964</v>
      </c>
      <c r="K1176" s="2213">
        <f>'Part VII-Pro Forma'!K80</f>
        <v>28188.562404797631</v>
      </c>
      <c r="N1176" s="2043"/>
      <c r="O1176" s="2043"/>
      <c r="Z1176" s="1924" t="s">
        <v>6773</v>
      </c>
      <c r="AA1176" s="2051">
        <v>80</v>
      </c>
    </row>
    <row r="1177" spans="1:27" s="1852" customFormat="1" ht="13.35" customHeight="1">
      <c r="A1177" s="1852" t="s">
        <v>2295</v>
      </c>
      <c r="B1177" s="2213">
        <f>'Part VII-Pro Forma'!B81</f>
        <v>-84205.333065652259</v>
      </c>
      <c r="C1177" s="2213">
        <f>'Part VII-Pro Forma'!C81</f>
        <v>-85889.439726965284</v>
      </c>
      <c r="D1177" s="2213">
        <f>'Part VII-Pro Forma'!D81</f>
        <v>-87607.228521504614</v>
      </c>
      <c r="E1177" s="2213">
        <f>'Part VII-Pro Forma'!E81</f>
        <v>-89359.373091934671</v>
      </c>
      <c r="F1177" s="2213">
        <f>'Part VII-Pro Forma'!F81</f>
        <v>-91146.560553773379</v>
      </c>
      <c r="G1177" s="2213">
        <f>'Part VII-Pro Forma'!G81</f>
        <v>-92969.491764848848</v>
      </c>
      <c r="H1177" s="2213">
        <f>'Part VII-Pro Forma'!H81</f>
        <v>-94828.881600145833</v>
      </c>
      <c r="I1177" s="2213">
        <f>'Part VII-Pro Forma'!I81</f>
        <v>-96725.459232148729</v>
      </c>
      <c r="J1177" s="2213">
        <f>'Part VII-Pro Forma'!J81</f>
        <v>-98659.968416791715</v>
      </c>
      <c r="K1177" s="2213">
        <f>'Part VII-Pro Forma'!K81</f>
        <v>-100633.16778512753</v>
      </c>
      <c r="N1177" s="2043"/>
      <c r="O1177" s="2043"/>
      <c r="Z1177" s="1924" t="s">
        <v>6773</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6773</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6773</v>
      </c>
      <c r="AA1179" s="2051">
        <v>83</v>
      </c>
    </row>
    <row r="1180" spans="1:27" s="1852" customFormat="1" ht="13.35" customHeight="1">
      <c r="A1180" s="1852" t="s">
        <v>4013</v>
      </c>
      <c r="B1180" s="2213">
        <f>'Part VII-Pro Forma'!B84</f>
        <v>1118727.9964436656</v>
      </c>
      <c r="C1180" s="2213">
        <f>'Part VII-Pro Forma'!C84</f>
        <v>1141102.5563725387</v>
      </c>
      <c r="D1180" s="2213">
        <f>'Part VII-Pro Forma'!D84</f>
        <v>1163924.6074999897</v>
      </c>
      <c r="E1180" s="2213">
        <f>'Part VII-Pro Forma'!E84</f>
        <v>1187203.099649989</v>
      </c>
      <c r="F1180" s="2213">
        <f>'Part VII-Pro Forma'!F84</f>
        <v>1210947.1616429891</v>
      </c>
      <c r="G1180" s="2213">
        <f>'Part VII-Pro Forma'!G84</f>
        <v>1235166.1048758489</v>
      </c>
      <c r="H1180" s="2213">
        <f>'Part VII-Pro Forma'!H84</f>
        <v>1259869.4269733657</v>
      </c>
      <c r="I1180" s="2213">
        <f>'Part VII-Pro Forma'!I84</f>
        <v>1285066.815512833</v>
      </c>
      <c r="J1180" s="2213">
        <f>'Part VII-Pro Forma'!J84</f>
        <v>1310768.1518230899</v>
      </c>
      <c r="K1180" s="2213">
        <f>'Part VII-Pro Forma'!K84</f>
        <v>1336983.5148595516</v>
      </c>
      <c r="N1180" s="2043"/>
      <c r="O1180" s="2043"/>
      <c r="Z1180" s="1924" t="s">
        <v>6773</v>
      </c>
      <c r="AA1180" s="2051">
        <v>84</v>
      </c>
    </row>
    <row r="1181" spans="1:27" s="1852" customFormat="1" ht="13.35" customHeight="1">
      <c r="A1181" s="1852" t="s">
        <v>585</v>
      </c>
      <c r="B1181" s="2213">
        <f>'Part VII-Pro Forma'!B85</f>
        <v>-766004.28462552221</v>
      </c>
      <c r="C1181" s="2213">
        <f>'Part VII-Pro Forma'!C85</f>
        <v>-788984.41316428781</v>
      </c>
      <c r="D1181" s="2213">
        <f>'Part VII-Pro Forma'!D85</f>
        <v>-812653.94555921643</v>
      </c>
      <c r="E1181" s="2213">
        <f>'Part VII-Pro Forma'!E85</f>
        <v>-837033.56392599305</v>
      </c>
      <c r="F1181" s="2213">
        <f>'Part VII-Pro Forma'!F85</f>
        <v>-862144.57084377273</v>
      </c>
      <c r="G1181" s="2213">
        <f>'Part VII-Pro Forma'!G85</f>
        <v>-888008.90796908585</v>
      </c>
      <c r="H1181" s="2213">
        <f>'Part VII-Pro Forma'!H85</f>
        <v>-914649.17520815856</v>
      </c>
      <c r="I1181" s="2213">
        <f>'Part VII-Pro Forma'!I85</f>
        <v>-942088.65046440321</v>
      </c>
      <c r="J1181" s="2213">
        <f>'Part VII-Pro Forma'!J85</f>
        <v>-970351.30997833528</v>
      </c>
      <c r="K1181" s="2213">
        <f>'Part VII-Pro Forma'!K85</f>
        <v>-999461.84927768528</v>
      </c>
      <c r="N1181" s="2043"/>
      <c r="O1181" s="2043"/>
      <c r="Z1181" s="1924" t="s">
        <v>6773</v>
      </c>
      <c r="AA1181" s="2051">
        <v>85</v>
      </c>
    </row>
    <row r="1182" spans="1:27" s="1852" customFormat="1" ht="13.35" customHeight="1">
      <c r="A1182" s="1852" t="s">
        <v>1075</v>
      </c>
      <c r="B1182" s="2213">
        <f>'Part VII-Pro Forma'!B86</f>
        <v>-78311</v>
      </c>
      <c r="C1182" s="2213">
        <f>'Part VII-Pro Forma'!C86</f>
        <v>-79877</v>
      </c>
      <c r="D1182" s="2213">
        <f>'Part VII-Pro Forma'!D86</f>
        <v>-81475</v>
      </c>
      <c r="E1182" s="2213">
        <f>'Part VII-Pro Forma'!E86</f>
        <v>-83104</v>
      </c>
      <c r="F1182" s="2213">
        <f>'Part VII-Pro Forma'!F86</f>
        <v>-84766</v>
      </c>
      <c r="G1182" s="2213">
        <f>'Part VII-Pro Forma'!G86</f>
        <v>-86462</v>
      </c>
      <c r="H1182" s="2213">
        <f>'Part VII-Pro Forma'!H86</f>
        <v>-88191</v>
      </c>
      <c r="I1182" s="2213">
        <f>'Part VII-Pro Forma'!I86</f>
        <v>-89955</v>
      </c>
      <c r="J1182" s="2213">
        <f>'Part VII-Pro Forma'!J86</f>
        <v>-91754</v>
      </c>
      <c r="K1182" s="2213">
        <f>'Part VII-Pro Forma'!K86</f>
        <v>-93589</v>
      </c>
      <c r="N1182" s="2043"/>
      <c r="O1182" s="2043"/>
      <c r="Z1182" s="1924" t="s">
        <v>6773</v>
      </c>
      <c r="AA1182" s="2051">
        <v>86</v>
      </c>
    </row>
    <row r="1183" spans="1:27" s="1852" customFormat="1" ht="13.35" customHeight="1">
      <c r="A1183" s="1852" t="s">
        <v>1156</v>
      </c>
      <c r="B1183" s="2213">
        <f>'Part VII-Pro Forma'!B87</f>
        <v>-42895.141823398568</v>
      </c>
      <c r="C1183" s="2213">
        <f>'Part VII-Pro Forma'!C87</f>
        <v>-44181.996078100514</v>
      </c>
      <c r="D1183" s="2213">
        <f>'Part VII-Pro Forma'!D87</f>
        <v>-45507.455960443534</v>
      </c>
      <c r="E1183" s="2213">
        <f>'Part VII-Pro Forma'!E87</f>
        <v>-46872.679639256843</v>
      </c>
      <c r="F1183" s="2213">
        <f>'Part VII-Pro Forma'!F87</f>
        <v>-48278.860028434545</v>
      </c>
      <c r="G1183" s="2213">
        <f>'Part VII-Pro Forma'!G87</f>
        <v>-49727.225829287578</v>
      </c>
      <c r="H1183" s="2213">
        <f>'Part VII-Pro Forma'!H87</f>
        <v>-51219.042604166214</v>
      </c>
      <c r="I1183" s="2213">
        <f>'Part VII-Pro Forma'!I87</f>
        <v>-52755.613882291196</v>
      </c>
      <c r="J1183" s="2213">
        <f>'Part VII-Pro Forma'!J87</f>
        <v>-54338.282298759928</v>
      </c>
      <c r="K1183" s="2213">
        <f>'Part VII-Pro Forma'!K87</f>
        <v>-55968.430767722719</v>
      </c>
      <c r="N1183" s="2043"/>
      <c r="O1183" s="2043"/>
      <c r="Q1183" s="2051">
        <v>10</v>
      </c>
      <c r="R1183" s="2140">
        <f>-SUM(B1189:K1189)</f>
        <v>0</v>
      </c>
      <c r="S1183" s="2140">
        <f>SUM(B1190:K1190)+R1183</f>
        <v>0</v>
      </c>
      <c r="Z1183" s="1924" t="s">
        <v>6773</v>
      </c>
      <c r="AA1183" s="2051">
        <v>87</v>
      </c>
    </row>
    <row r="1184" spans="1:27" s="1852" customFormat="1" ht="13.35" customHeight="1">
      <c r="A1184" s="1852" t="s">
        <v>4012</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6773</v>
      </c>
      <c r="AA1184" s="2051">
        <v>88</v>
      </c>
    </row>
    <row r="1185" spans="1:27" s="1852" customFormat="1" ht="13.35" customHeight="1">
      <c r="A1185" s="1852" t="s">
        <v>1157</v>
      </c>
      <c r="B1185" s="2213">
        <f>'Part VII-Pro Forma'!B89</f>
        <v>231517.56999474482</v>
      </c>
      <c r="C1185" s="2213">
        <f>'Part VII-Pro Forma'!C89</f>
        <v>228059.14713015035</v>
      </c>
      <c r="D1185" s="2213">
        <f>'Part VII-Pro Forma'!D89</f>
        <v>224288.20598032972</v>
      </c>
      <c r="E1185" s="2213">
        <f>'Part VII-Pro Forma'!E89</f>
        <v>220192.85608473915</v>
      </c>
      <c r="F1185" s="2213">
        <f>'Part VII-Pro Forma'!F89</f>
        <v>215757.73077078187</v>
      </c>
      <c r="G1185" s="2213">
        <f>'Part VII-Pro Forma'!G89</f>
        <v>210967.97107747543</v>
      </c>
      <c r="H1185" s="2213">
        <f>'Part VII-Pro Forma'!H89</f>
        <v>205810.20916104096</v>
      </c>
      <c r="I1185" s="2213">
        <f>'Part VII-Pro Forma'!I89</f>
        <v>200267.55116613855</v>
      </c>
      <c r="J1185" s="2213">
        <f>'Part VII-Pro Forma'!J89</f>
        <v>194324.55954599471</v>
      </c>
      <c r="K1185" s="2213">
        <f>'Part VII-Pro Forma'!K89</f>
        <v>187964.23481414357</v>
      </c>
      <c r="N1185" s="2043"/>
      <c r="O1185" s="2043"/>
      <c r="Z1185" s="1924" t="s">
        <v>6773</v>
      </c>
      <c r="AA1185" s="2051">
        <v>89</v>
      </c>
    </row>
    <row r="1186" spans="1:27" s="1852" customFormat="1" ht="13.35" customHeight="1">
      <c r="A1186" s="1852" t="str">
        <f>$A1154</f>
        <v>Mortgage A</v>
      </c>
      <c r="B1186" s="2214">
        <f>'Part VII-Pro Forma'!B90</f>
        <v>-187467.49578763059</v>
      </c>
      <c r="C1186" s="2214">
        <f>'Part VII-Pro Forma'!C90</f>
        <v>-187467.49578763059</v>
      </c>
      <c r="D1186" s="2214">
        <f>'Part VII-Pro Forma'!D90</f>
        <v>-187467.49578763059</v>
      </c>
      <c r="E1186" s="2214">
        <f>'Part VII-Pro Forma'!E90</f>
        <v>-187467.49578763059</v>
      </c>
      <c r="F1186" s="2214">
        <f>'Part VII-Pro Forma'!F90</f>
        <v>-187467.49578763059</v>
      </c>
      <c r="G1186" s="2214">
        <f>'Part VII-Pro Forma'!G90</f>
        <v>-187467.49578763059</v>
      </c>
      <c r="H1186" s="2214">
        <f>'Part VII-Pro Forma'!H90</f>
        <v>-187467.49578763059</v>
      </c>
      <c r="I1186" s="2214">
        <f>'Part VII-Pro Forma'!I90</f>
        <v>-187467.49578763059</v>
      </c>
      <c r="J1186" s="2214">
        <f>'Part VII-Pro Forma'!J90</f>
        <v>-187467.49578763059</v>
      </c>
      <c r="K1186" s="2214">
        <f>'Part VII-Pro Forma'!K90</f>
        <v>-187467.49578763059</v>
      </c>
      <c r="N1186" s="2043"/>
      <c r="O1186" s="2043"/>
      <c r="Z1186" s="1924" t="s">
        <v>6773</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6773</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6773</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6773</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6773</v>
      </c>
      <c r="AA1190" s="2051">
        <v>94</v>
      </c>
    </row>
    <row r="1191" spans="1:27" s="1852" customFormat="1" ht="13.35" customHeight="1">
      <c r="A1191" s="1852" t="s">
        <v>1121</v>
      </c>
      <c r="B1191" s="2214">
        <f>'Part VII-Pro Forma'!B95</f>
        <v>0</v>
      </c>
      <c r="C1191" s="2214">
        <f>'Part VII-Pro Forma'!C95</f>
        <v>0</v>
      </c>
      <c r="D1191" s="2214">
        <f>'Part VII-Pro Forma'!D95</f>
        <v>0</v>
      </c>
      <c r="E1191" s="2214">
        <f>'Part VII-Pro Forma'!E95</f>
        <v>0</v>
      </c>
      <c r="F1191" s="2214">
        <f>'Part VII-Pro Forma'!F95</f>
        <v>0</v>
      </c>
      <c r="G1191" s="2214">
        <f>'Part VII-Pro Forma'!G95</f>
        <v>0</v>
      </c>
      <c r="H1191" s="2214">
        <f>'Part VII-Pro Forma'!H95</f>
        <v>0</v>
      </c>
      <c r="I1191" s="2214">
        <f>'Part VII-Pro Forma'!I95</f>
        <v>0</v>
      </c>
      <c r="J1191" s="2214">
        <f>'Part VII-Pro Forma'!J95</f>
        <v>0</v>
      </c>
      <c r="K1191" s="2214">
        <f>'Part VII-Pro Forma'!K95</f>
        <v>0</v>
      </c>
      <c r="N1191" s="2043"/>
      <c r="O1191" s="2043"/>
      <c r="Z1191" s="1924" t="s">
        <v>6773</v>
      </c>
      <c r="AA1191" s="2051">
        <v>95</v>
      </c>
    </row>
    <row r="1192" spans="1:27" s="1852" customFormat="1" ht="13.35" customHeight="1">
      <c r="A1192" s="1852" t="s">
        <v>1122</v>
      </c>
      <c r="B1192" s="2213">
        <f>'Part VII-Pro Forma'!B96</f>
        <v>44050.07420711423</v>
      </c>
      <c r="C1192" s="2213">
        <f>'Part VII-Pro Forma'!C96</f>
        <v>40591.651342519763</v>
      </c>
      <c r="D1192" s="2213">
        <f>'Part VII-Pro Forma'!D96</f>
        <v>36820.710192699131</v>
      </c>
      <c r="E1192" s="2213">
        <f>'Part VII-Pro Forma'!E96</f>
        <v>32725.360297108564</v>
      </c>
      <c r="F1192" s="2213">
        <f>'Part VII-Pro Forma'!F96</f>
        <v>28290.234983151284</v>
      </c>
      <c r="G1192" s="2213">
        <f>'Part VII-Pro Forma'!G96</f>
        <v>23500.47528984485</v>
      </c>
      <c r="H1192" s="2213">
        <f>'Part VII-Pro Forma'!H96</f>
        <v>18342.71337341037</v>
      </c>
      <c r="I1192" s="2213">
        <f>'Part VII-Pro Forma'!I96</f>
        <v>12800.055378507968</v>
      </c>
      <c r="J1192" s="2213">
        <f>'Part VII-Pro Forma'!J96</f>
        <v>6857.0637583641219</v>
      </c>
      <c r="K1192" s="2213">
        <f>'Part VII-Pro Forma'!K96</f>
        <v>496.73902651297976</v>
      </c>
      <c r="N1192" s="2043"/>
      <c r="O1192" s="2043"/>
      <c r="Z1192" s="1924" t="s">
        <v>6773</v>
      </c>
      <c r="AA1192" s="1929">
        <v>96</v>
      </c>
    </row>
    <row r="1193" spans="1:27" s="1852" customFormat="1" ht="13.35" customHeight="1">
      <c r="A1193" s="1852" t="str">
        <f>$A1162</f>
        <v>DCR Mortgage A</v>
      </c>
      <c r="B1193" s="2215">
        <f>'Part VII-Pro Forma'!B97</f>
        <v>1.2349744632905089</v>
      </c>
      <c r="C1193" s="2215">
        <f>'Part VII-Pro Forma'!C97</f>
        <v>1.2165263432574112</v>
      </c>
      <c r="D1193" s="2215">
        <f>'Part VII-Pro Forma'!D97</f>
        <v>1.1964111700431037</v>
      </c>
      <c r="E1193" s="2215">
        <f>'Part VII-Pro Forma'!E97</f>
        <v>1.1745655168626188</v>
      </c>
      <c r="F1193" s="2215">
        <f>'Part VII-Pro Forma'!F97</f>
        <v>1.1509074139188342</v>
      </c>
      <c r="G1193" s="2215">
        <f>'Part VII-Pro Forma'!G97</f>
        <v>1.125357599679397</v>
      </c>
      <c r="H1193" s="2215">
        <f>'Part VII-Pro Forma'!H97</f>
        <v>1.097844766615913</v>
      </c>
      <c r="I1193" s="2215">
        <f>'Part VII-Pro Forma'!I97</f>
        <v>1.0682787985444062</v>
      </c>
      <c r="J1193" s="2215">
        <f>'Part VII-Pro Forma'!J97</f>
        <v>1.036577347606606</v>
      </c>
      <c r="K1193" s="2215">
        <f>'Part VII-Pro Forma'!K97</f>
        <v>1.0026497341548515</v>
      </c>
      <c r="N1193" s="2043"/>
      <c r="O1193" s="2043"/>
      <c r="Z1193" s="1924" t="s">
        <v>6773</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6773</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6773</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6773</v>
      </c>
      <c r="AA1196" s="2051">
        <v>100</v>
      </c>
    </row>
    <row r="1197" spans="1:27" s="1852" customFormat="1" ht="13.35" customHeight="1">
      <c r="A1197" s="1852" t="s">
        <v>3343</v>
      </c>
      <c r="B1197" s="2215">
        <f>'Part VII-Pro Forma'!B101</f>
        <v>1.2349744632905089</v>
      </c>
      <c r="C1197" s="2215">
        <f>'Part VII-Pro Forma'!C101</f>
        <v>1.2165263432574112</v>
      </c>
      <c r="D1197" s="2215">
        <f>'Part VII-Pro Forma'!D101</f>
        <v>1.1964111700431037</v>
      </c>
      <c r="E1197" s="2215">
        <f>'Part VII-Pro Forma'!E101</f>
        <v>1.1745655168626188</v>
      </c>
      <c r="F1197" s="2215">
        <f>'Part VII-Pro Forma'!F101</f>
        <v>1.1509074139188342</v>
      </c>
      <c r="G1197" s="2215">
        <f>'Part VII-Pro Forma'!G101</f>
        <v>1.125357599679397</v>
      </c>
      <c r="H1197" s="2215">
        <f>'Part VII-Pro Forma'!H101</f>
        <v>1.097844766615913</v>
      </c>
      <c r="I1197" s="2215">
        <f>'Part VII-Pro Forma'!I101</f>
        <v>1.0682787985444062</v>
      </c>
      <c r="J1197" s="2215">
        <f>'Part VII-Pro Forma'!J101</f>
        <v>1.036577347606606</v>
      </c>
      <c r="K1197" s="2215">
        <f>'Part VII-Pro Forma'!K101</f>
        <v>1.0026497341548515</v>
      </c>
      <c r="N1197" s="2043"/>
      <c r="O1197" s="2043"/>
      <c r="Z1197" s="1924" t="s">
        <v>6773</v>
      </c>
      <c r="AA1197" s="2051">
        <v>101</v>
      </c>
    </row>
    <row r="1198" spans="1:27" s="1852" customFormat="1" ht="13.35" customHeight="1">
      <c r="A1198" s="1852" t="s">
        <v>740</v>
      </c>
      <c r="B1198" s="2215">
        <f>'Part VII-Pro Forma'!B102</f>
        <v>1.2609500103841194</v>
      </c>
      <c r="C1198" s="2215">
        <f>'Part VII-Pro Forma'!C102</f>
        <v>1.2497790847856685</v>
      </c>
      <c r="D1198" s="2215">
        <f>'Part VII-Pro Forma'!D102</f>
        <v>1.2386968040165236</v>
      </c>
      <c r="E1198" s="2215">
        <f>'Part VII-Pro Forma'!E102</f>
        <v>1.2277047813608621</v>
      </c>
      <c r="F1198" s="2215">
        <f>'Part VII-Pro Forma'!F102</f>
        <v>1.21680066535844</v>
      </c>
      <c r="G1198" s="2215">
        <f>'Part VII-Pro Forma'!G102</f>
        <v>1.2059835534898633</v>
      </c>
      <c r="H1198" s="2215">
        <f>'Part VII-Pro Forma'!H102</f>
        <v>1.1952548829165359</v>
      </c>
      <c r="I1198" s="2215">
        <f>'Part VII-Pro Forma'!I102</f>
        <v>1.1846125433047257</v>
      </c>
      <c r="J1198" s="2215">
        <f>'Part VII-Pro Forma'!J102</f>
        <v>1.1740567646141897</v>
      </c>
      <c r="K1198" s="2215">
        <f>'Part VII-Pro Forma'!K102</f>
        <v>1.1635866674114601</v>
      </c>
      <c r="N1198" s="2043"/>
      <c r="O1198" s="2043"/>
      <c r="Z1198" s="1924" t="s">
        <v>6773</v>
      </c>
      <c r="AA1198" s="2051">
        <v>102</v>
      </c>
    </row>
    <row r="1199" spans="1:27" s="1852" customFormat="1" ht="13.35" customHeight="1">
      <c r="A1199" s="1852" t="s">
        <v>2493</v>
      </c>
      <c r="B1199" s="2214">
        <f>'Part VII-Pro Forma'!B103</f>
        <v>1855839.6911937781</v>
      </c>
      <c r="C1199" s="2214">
        <f>'Part VII-Pro Forma'!C103</f>
        <v>1763605.3822302455</v>
      </c>
      <c r="D1199" s="2214">
        <f>'Part VII-Pro Forma'!D103</f>
        <v>1666410.5381096504</v>
      </c>
      <c r="E1199" s="2214">
        <f>'Part VII-Pro Forma'!E103</f>
        <v>1563988.3718920681</v>
      </c>
      <c r="F1199" s="2214">
        <f>'Part VII-Pro Forma'!F103</f>
        <v>1456057.7483325908</v>
      </c>
      <c r="G1199" s="2214">
        <f>'Part VII-Pro Forma'!G103</f>
        <v>1342322.4122024132</v>
      </c>
      <c r="H1199" s="2214">
        <f>'Part VII-Pro Forma'!H103</f>
        <v>1222470.1751075727</v>
      </c>
      <c r="I1199" s="2214">
        <f>'Part VII-Pro Forma'!I103</f>
        <v>1096172.0585732642</v>
      </c>
      <c r="J1199" s="2214">
        <f>'Part VII-Pro Forma'!J103</f>
        <v>963081.39104161586</v>
      </c>
      <c r="K1199" s="2214">
        <f>'Part VII-Pro Forma'!K103</f>
        <v>822832.85630429804</v>
      </c>
      <c r="N1199" s="2043"/>
      <c r="O1199" s="2043"/>
      <c r="Z1199" s="1924" t="s">
        <v>6773</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6773</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6773</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6773</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3334</v>
      </c>
      <c r="Z1204" s="1924"/>
      <c r="AA1204" s="1929">
        <v>108</v>
      </c>
    </row>
    <row r="1205" spans="1:27" s="1852" customFormat="1" ht="13.35" customHeight="1">
      <c r="A1205" s="1852" t="s">
        <v>2294</v>
      </c>
      <c r="B1205" s="2213">
        <f>'Part VII-Pro Forma'!B109</f>
        <v>1437616.6826446792</v>
      </c>
      <c r="C1205" s="2213">
        <f>'Part VII-Pro Forma'!C109</f>
        <v>1466369.0162975725</v>
      </c>
      <c r="D1205" s="2213">
        <f>'Part VII-Pro Forma'!D109</f>
        <v>1495696.3966235241</v>
      </c>
      <c r="E1205" s="2213">
        <f>'Part VII-Pro Forma'!E109</f>
        <v>1525610.3245559947</v>
      </c>
      <c r="F1205" s="2213">
        <f>'Part VII-Pro Forma'!F109</f>
        <v>1556122.5310471144</v>
      </c>
      <c r="G1205" s="2213"/>
      <c r="H1205" s="2213"/>
      <c r="I1205" s="2213"/>
      <c r="J1205" s="2213"/>
      <c r="K1205" s="2213"/>
      <c r="N1205" s="2043"/>
      <c r="O1205" s="2043"/>
      <c r="Z1205" s="1924" t="s">
        <v>6774</v>
      </c>
      <c r="AA1205" s="2051">
        <v>109</v>
      </c>
    </row>
    <row r="1206" spans="1:27" s="1852" customFormat="1" ht="13.35" customHeight="1">
      <c r="A1206" s="1852" t="s">
        <v>977</v>
      </c>
      <c r="B1206" s="2213">
        <f>'Part VII-Pro Forma'!B110</f>
        <v>28752.333652893583</v>
      </c>
      <c r="C1206" s="2213">
        <f>'Part VII-Pro Forma'!C110</f>
        <v>29327.38032595145</v>
      </c>
      <c r="D1206" s="2213">
        <f>'Part VII-Pro Forma'!D110</f>
        <v>29913.927932470484</v>
      </c>
      <c r="E1206" s="2213">
        <f>'Part VII-Pro Forma'!E110</f>
        <v>30512.206491119898</v>
      </c>
      <c r="F1206" s="2213">
        <f>'Part VII-Pro Forma'!F110</f>
        <v>31122.450620942291</v>
      </c>
      <c r="G1206" s="2213"/>
      <c r="H1206" s="2213"/>
      <c r="I1206" s="2213"/>
      <c r="J1206" s="2213"/>
      <c r="K1206" s="2213"/>
      <c r="N1206" s="2043"/>
      <c r="O1206" s="2043"/>
      <c r="Z1206" s="1924" t="s">
        <v>6774</v>
      </c>
      <c r="AA1206" s="2051">
        <v>110</v>
      </c>
    </row>
    <row r="1207" spans="1:27" s="1852" customFormat="1" ht="13.35" customHeight="1">
      <c r="A1207" s="1852" t="s">
        <v>2295</v>
      </c>
      <c r="B1207" s="2213">
        <f>'Part VII-Pro Forma'!B111</f>
        <v>-102645.83114083011</v>
      </c>
      <c r="C1207" s="2213">
        <f>'Part VII-Pro Forma'!C111</f>
        <v>-104698.74776364668</v>
      </c>
      <c r="D1207" s="2213">
        <f>'Part VII-Pro Forma'!D111</f>
        <v>-106792.72271891964</v>
      </c>
      <c r="E1207" s="2213">
        <f>'Part VII-Pro Forma'!E111</f>
        <v>-108928.57717329804</v>
      </c>
      <c r="F1207" s="2213">
        <f>'Part VII-Pro Forma'!F111</f>
        <v>-111107.14871676397</v>
      </c>
      <c r="G1207" s="2213"/>
      <c r="H1207" s="2213"/>
      <c r="I1207" s="2213"/>
      <c r="J1207" s="2213"/>
      <c r="K1207" s="2213"/>
      <c r="N1207" s="2043"/>
      <c r="O1207" s="2043"/>
      <c r="Z1207" s="1924" t="s">
        <v>6774</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6774</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6774</v>
      </c>
      <c r="AA1209" s="2051">
        <v>113</v>
      </c>
    </row>
    <row r="1210" spans="1:27" s="1852" customFormat="1" ht="13.35" customHeight="1">
      <c r="A1210" s="1852" t="s">
        <v>4013</v>
      </c>
      <c r="B1210" s="2213">
        <f>'Part VII-Pro Forma'!B114</f>
        <v>1363723.1851567426</v>
      </c>
      <c r="C1210" s="2213">
        <f>'Part VII-Pro Forma'!C114</f>
        <v>1390997.6488598771</v>
      </c>
      <c r="D1210" s="2213">
        <f>'Part VII-Pro Forma'!D114</f>
        <v>1418817.6018370751</v>
      </c>
      <c r="E1210" s="2213">
        <f>'Part VII-Pro Forma'!E114</f>
        <v>1447193.9538738166</v>
      </c>
      <c r="F1210" s="2213">
        <f>'Part VII-Pro Forma'!F114</f>
        <v>1476137.8329512926</v>
      </c>
      <c r="G1210" s="2213"/>
      <c r="H1210" s="2213"/>
      <c r="I1210" s="2213"/>
      <c r="J1210" s="2213"/>
      <c r="K1210" s="2213"/>
      <c r="N1210" s="2043"/>
      <c r="O1210" s="2043"/>
      <c r="Z1210" s="1924" t="s">
        <v>6774</v>
      </c>
      <c r="AA1210" s="2051">
        <v>114</v>
      </c>
    </row>
    <row r="1211" spans="1:27" s="1852" customFormat="1" ht="13.35" customHeight="1">
      <c r="A1211" s="1852" t="s">
        <v>585</v>
      </c>
      <c r="B1211" s="2213">
        <f>'Part VII-Pro Forma'!B115</f>
        <v>-1029445.7047560158</v>
      </c>
      <c r="C1211" s="2213">
        <f>'Part VII-Pro Forma'!C115</f>
        <v>-1060329.0758986964</v>
      </c>
      <c r="D1211" s="2213">
        <f>'Part VII-Pro Forma'!D115</f>
        <v>-1092138.9481756571</v>
      </c>
      <c r="E1211" s="2213">
        <f>'Part VII-Pro Forma'!E115</f>
        <v>-1124903.1166209269</v>
      </c>
      <c r="F1211" s="2213">
        <f>'Part VII-Pro Forma'!F115</f>
        <v>-1158650.2101195545</v>
      </c>
      <c r="G1211" s="2213"/>
      <c r="H1211" s="2213"/>
      <c r="I1211" s="2213"/>
      <c r="J1211" s="2213"/>
      <c r="K1211" s="2213"/>
      <c r="N1211" s="2043"/>
      <c r="O1211" s="2043"/>
      <c r="Z1211" s="1924" t="s">
        <v>6774</v>
      </c>
      <c r="AA1211" s="2051">
        <v>115</v>
      </c>
    </row>
    <row r="1212" spans="1:27" s="1852" customFormat="1" ht="13.35" customHeight="1">
      <c r="A1212" s="1852" t="s">
        <v>1075</v>
      </c>
      <c r="B1212" s="2213">
        <f>'Part VII-Pro Forma'!B116</f>
        <v>-95461</v>
      </c>
      <c r="C1212" s="2213">
        <f>'Part VII-Pro Forma'!C116</f>
        <v>-97370</v>
      </c>
      <c r="D1212" s="2213">
        <f>'Part VII-Pro Forma'!D116</f>
        <v>-99317</v>
      </c>
      <c r="E1212" s="2213">
        <f>'Part VII-Pro Forma'!E116</f>
        <v>-101304</v>
      </c>
      <c r="F1212" s="2213">
        <f>'Part VII-Pro Forma'!F116</f>
        <v>-103330</v>
      </c>
      <c r="G1212" s="2213"/>
      <c r="H1212" s="2213"/>
      <c r="I1212" s="2213"/>
      <c r="J1212" s="2213"/>
      <c r="K1212" s="2213"/>
      <c r="N1212" s="2043"/>
      <c r="O1212" s="2043"/>
      <c r="Z1212" s="1924" t="s">
        <v>6774</v>
      </c>
      <c r="AA1212" s="2051">
        <v>116</v>
      </c>
    </row>
    <row r="1213" spans="1:27" s="1852" customFormat="1" ht="13.35" customHeight="1">
      <c r="A1213" s="1852" t="s">
        <v>1156</v>
      </c>
      <c r="B1213" s="2213">
        <f>'Part VII-Pro Forma'!B117</f>
        <v>-57647.483690754401</v>
      </c>
      <c r="C1213" s="2213">
        <f>'Part VII-Pro Forma'!C117</f>
        <v>-59376.908201477047</v>
      </c>
      <c r="D1213" s="2213">
        <f>'Part VII-Pro Forma'!D117</f>
        <v>-61158.215447521347</v>
      </c>
      <c r="E1213" s="2213">
        <f>'Part VII-Pro Forma'!E117</f>
        <v>-62992.961910946986</v>
      </c>
      <c r="F1213" s="2213">
        <f>'Part VII-Pro Forma'!F117</f>
        <v>-64882.750768275386</v>
      </c>
      <c r="G1213" s="2213"/>
      <c r="H1213" s="2213"/>
      <c r="I1213" s="2213"/>
      <c r="J1213" s="2213"/>
      <c r="K1213" s="2213"/>
      <c r="N1213" s="2043"/>
      <c r="O1213" s="2043"/>
      <c r="Q1213" s="2051">
        <v>10</v>
      </c>
      <c r="R1213" s="2140">
        <f>-SUM(B1219:K1219)</f>
        <v>0</v>
      </c>
      <c r="S1213" s="2140">
        <f>SUM(B1220:K1220)+R1213</f>
        <v>0</v>
      </c>
      <c r="Z1213" s="1924" t="s">
        <v>6774</v>
      </c>
      <c r="AA1213" s="1929">
        <v>117</v>
      </c>
    </row>
    <row r="1214" spans="1:27" s="1852" customFormat="1" ht="13.35" customHeight="1">
      <c r="A1214" s="1852" t="s">
        <v>4012</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6774</v>
      </c>
      <c r="AA1214" s="2051">
        <v>118</v>
      </c>
    </row>
    <row r="1215" spans="1:27" s="1852" customFormat="1" ht="13.35" customHeight="1">
      <c r="A1215" s="1852" t="s">
        <v>1157</v>
      </c>
      <c r="B1215" s="2213">
        <f>'Part VII-Pro Forma'!B119</f>
        <v>181168.99670997239</v>
      </c>
      <c r="C1215" s="2213">
        <f>'Part VII-Pro Forma'!C119</f>
        <v>173921.66475970365</v>
      </c>
      <c r="D1215" s="2213">
        <f>'Part VII-Pro Forma'!D119</f>
        <v>166203.43821389665</v>
      </c>
      <c r="E1215" s="2213">
        <f>'Part VII-Pro Forma'!E119</f>
        <v>157993.87534194277</v>
      </c>
      <c r="F1215" s="2213">
        <f>'Part VII-Pro Forma'!F119</f>
        <v>149274.87206346271</v>
      </c>
      <c r="G1215" s="2213"/>
      <c r="H1215" s="2213"/>
      <c r="I1215" s="2213"/>
      <c r="J1215" s="2213"/>
      <c r="K1215" s="2213"/>
      <c r="N1215" s="2043"/>
      <c r="O1215" s="2043"/>
      <c r="Z1215" s="1924" t="s">
        <v>6774</v>
      </c>
      <c r="AA1215" s="2051">
        <v>119</v>
      </c>
    </row>
    <row r="1216" spans="1:27" s="1852" customFormat="1" ht="13.35" customHeight="1">
      <c r="A1216" s="1852" t="str">
        <f>$A1186</f>
        <v>Mortgage A</v>
      </c>
      <c r="B1216" s="2214">
        <f>'Part VII-Pro Forma'!B120</f>
        <v>-187467.49578763059</v>
      </c>
      <c r="C1216" s="2214">
        <f>'Part VII-Pro Forma'!C120</f>
        <v>-187467.49578763059</v>
      </c>
      <c r="D1216" s="2214">
        <f>'Part VII-Pro Forma'!D120</f>
        <v>-187467.49578763059</v>
      </c>
      <c r="E1216" s="2214">
        <f>'Part VII-Pro Forma'!E120</f>
        <v>-187467.49578763059</v>
      </c>
      <c r="F1216" s="2214">
        <f>'Part VII-Pro Forma'!F120</f>
        <v>-187467.49578763059</v>
      </c>
      <c r="G1216" s="2213"/>
      <c r="H1216" s="2213"/>
      <c r="I1216" s="2213"/>
      <c r="J1216" s="2213"/>
      <c r="K1216" s="2213"/>
      <c r="N1216" s="2043"/>
      <c r="O1216" s="2043"/>
      <c r="Z1216" s="1924" t="s">
        <v>6774</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6774</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6774</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6774</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6774</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6774</v>
      </c>
      <c r="AA1221" s="2051">
        <v>125</v>
      </c>
    </row>
    <row r="1222" spans="1:27" s="1852" customFormat="1" ht="13.35" customHeight="1">
      <c r="A1222" s="1852" t="s">
        <v>1122</v>
      </c>
      <c r="B1222" s="2213">
        <f>'Part VII-Pro Forma'!B126</f>
        <v>-6298.4990776581981</v>
      </c>
      <c r="C1222" s="2213">
        <f>'Part VII-Pro Forma'!C126</f>
        <v>-13545.831027926935</v>
      </c>
      <c r="D1222" s="2213">
        <f>'Part VII-Pro Forma'!D126</f>
        <v>-21264.057573733939</v>
      </c>
      <c r="E1222" s="2213">
        <f>'Part VII-Pro Forma'!E126</f>
        <v>-29473.620445687819</v>
      </c>
      <c r="F1222" s="2213">
        <f>'Part VII-Pro Forma'!F126</f>
        <v>-38192.623724167875</v>
      </c>
      <c r="G1222" s="2213"/>
      <c r="H1222" s="2213"/>
      <c r="I1222" s="2213"/>
      <c r="J1222" s="2213"/>
      <c r="K1222" s="2213"/>
      <c r="N1222" s="2043"/>
      <c r="O1222" s="2043"/>
      <c r="Z1222" s="1924" t="s">
        <v>6774</v>
      </c>
      <c r="AA1222" s="2051">
        <v>126</v>
      </c>
    </row>
    <row r="1223" spans="1:27" s="1852" customFormat="1" ht="13.35" customHeight="1">
      <c r="A1223" s="1852" t="str">
        <f>$A1193</f>
        <v>DCR Mortgage A</v>
      </c>
      <c r="B1223" s="2215">
        <f>'Part VII-Pro Forma'!B127</f>
        <v>0.96640218054230931</v>
      </c>
      <c r="C1223" s="2215">
        <f>'Part VII-Pro Forma'!C127</f>
        <v>0.92774304168829302</v>
      </c>
      <c r="D1223" s="2215">
        <f>'Part VII-Pro Forma'!D127</f>
        <v>0.88657202954360381</v>
      </c>
      <c r="E1223" s="2215">
        <f>'Part VII-Pro Forma'!E127</f>
        <v>0.84278010264202541</v>
      </c>
      <c r="F1223" s="2215">
        <f>'Part VII-Pro Forma'!F127</f>
        <v>0.79627068914691346</v>
      </c>
      <c r="G1223" s="2213"/>
      <c r="H1223" s="2213"/>
      <c r="I1223" s="2213"/>
      <c r="J1223" s="2213"/>
      <c r="K1223" s="2213"/>
      <c r="N1223" s="2043"/>
      <c r="O1223" s="2043"/>
      <c r="Z1223" s="1924" t="s">
        <v>6774</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6774</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6774</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6774</v>
      </c>
      <c r="AA1226" s="2051">
        <v>130</v>
      </c>
    </row>
    <row r="1227" spans="1:27" s="1852" customFormat="1" ht="13.35" customHeight="1">
      <c r="A1227" s="1852" t="s">
        <v>3343</v>
      </c>
      <c r="B1227" s="2215">
        <f>'Part VII-Pro Forma'!B131</f>
        <v>0.96640218054230931</v>
      </c>
      <c r="C1227" s="2215">
        <f>'Part VII-Pro Forma'!C131</f>
        <v>0.92774304168829302</v>
      </c>
      <c r="D1227" s="2215">
        <f>'Part VII-Pro Forma'!D131</f>
        <v>0.88657202954360381</v>
      </c>
      <c r="E1227" s="2215">
        <f>'Part VII-Pro Forma'!E131</f>
        <v>0.84278010264202541</v>
      </c>
      <c r="F1227" s="2215">
        <f>'Part VII-Pro Forma'!F131</f>
        <v>0.79627068914691346</v>
      </c>
      <c r="G1227" s="2213"/>
      <c r="H1227" s="2213"/>
      <c r="I1227" s="2213"/>
      <c r="J1227" s="2213"/>
      <c r="K1227" s="2213"/>
      <c r="N1227" s="2043"/>
      <c r="O1227" s="2043"/>
      <c r="Z1227" s="1924" t="s">
        <v>6774</v>
      </c>
      <c r="AA1227" s="1929">
        <v>131</v>
      </c>
    </row>
    <row r="1228" spans="1:27" s="1852" customFormat="1" ht="13.35" customHeight="1">
      <c r="A1228" s="1852" t="s">
        <v>740</v>
      </c>
      <c r="B1228" s="2215">
        <f>'Part VII-Pro Forma'!B132</f>
        <v>1.1532014333718856</v>
      </c>
      <c r="C1228" s="2215">
        <f>'Part VII-Pro Forma'!C132</f>
        <v>1.142901237911033</v>
      </c>
      <c r="D1228" s="2215">
        <f>'Part VII-Pro Forma'!D132</f>
        <v>1.1326852617833685</v>
      </c>
      <c r="E1228" s="2215">
        <f>'Part VII-Pro Forma'!E132</f>
        <v>1.1225518660546967</v>
      </c>
      <c r="F1228" s="2215">
        <f>'Part VII-Pro Forma'!F132</f>
        <v>1.112502101922854</v>
      </c>
      <c r="G1228" s="2213"/>
      <c r="H1228" s="2213"/>
      <c r="I1228" s="2213"/>
      <c r="J1228" s="2213"/>
      <c r="K1228" s="2213"/>
      <c r="N1228" s="2043"/>
      <c r="O1228" s="2043"/>
      <c r="Z1228" s="1924" t="s">
        <v>6774</v>
      </c>
      <c r="AA1228" s="2051">
        <v>132</v>
      </c>
    </row>
    <row r="1229" spans="1:27" s="1852" customFormat="1" ht="13.35" customHeight="1">
      <c r="A1229" s="1852" t="s">
        <v>2493</v>
      </c>
      <c r="B1229" s="2214">
        <f>'Part VII-Pro Forma'!B133</f>
        <v>675041.49075804534</v>
      </c>
      <c r="C1229" s="2214">
        <f>'Part VII-Pro Forma'!C133</f>
        <v>519301.6267306871</v>
      </c>
      <c r="D1229" s="2214">
        <f>'Part VII-Pro Forma'!D133</f>
        <v>355185.77897725906</v>
      </c>
      <c r="E1229" s="2214">
        <f>'Part VII-Pro Forma'!E133</f>
        <v>182243.47128977475</v>
      </c>
      <c r="F1229" s="2214">
        <f>'Part VII-Pro Forma'!F133</f>
        <v>-1.4374381862580776E-7</v>
      </c>
      <c r="G1229" s="2213"/>
      <c r="H1229" s="2213"/>
      <c r="I1229" s="2213"/>
      <c r="J1229" s="2213"/>
      <c r="K1229" s="2213"/>
      <c r="N1229" s="2043"/>
      <c r="O1229" s="2043"/>
      <c r="Z1229" s="1924" t="s">
        <v>6774</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6774</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6774</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6774</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 xml:space="preserve">The Project meets DCA required DSCR requirements and the Perm Debt payments are aligned with the Part III sources.  Management fee is a percentag of net rental income, it is not a set fee that grows by a percentage each year.  </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2021-018 Roswell Redevelopment Phase I,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7126</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3371</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The applicant has submitted a proposal which conforms to the 2021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 Total Developer Fee is within 2021 QAP Limits.</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3285</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3286</v>
      </c>
      <c r="L1278" s="435"/>
      <c r="M1278" s="435"/>
      <c r="N1278" s="435"/>
      <c r="P1278" s="2029" t="s">
        <v>2573</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4132</v>
      </c>
      <c r="Q1279" s="1875"/>
    </row>
    <row r="1280" spans="1:32" s="1852" customFormat="1" ht="10.5" customHeight="1">
      <c r="D1280" s="2231" t="s">
        <v>2561</v>
      </c>
      <c r="F1280" s="2112" t="s">
        <v>3188</v>
      </c>
      <c r="G1280" s="2112" t="s">
        <v>4076</v>
      </c>
      <c r="H1280" s="2112"/>
      <c r="I1280" s="2112"/>
      <c r="K1280" s="2112" t="s">
        <v>3188</v>
      </c>
      <c r="L1280" s="2112" t="s">
        <v>4075</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4133</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18857416.83068594</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4119</v>
      </c>
      <c r="Q1286" s="435"/>
      <c r="R1286" s="2242" t="s">
        <v>6609</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17650913.199996434</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3511</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7127</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3281</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f>IF('Part VI-Revenues &amp; Expenses'!$L$151 =0,"",'Part VI-Revenues &amp; Expenses'!$L$151)</f>
        <v>49</v>
      </c>
      <c r="G1296" s="2234">
        <f>'Part VIII-Threshold Criteria'!G56</f>
        <v>187459.19999999998</v>
      </c>
      <c r="H1296" s="2121" t="str">
        <f>CONCATENATE("x ", F1296," units = ")</f>
        <v xml:space="preserve">x 49 units = </v>
      </c>
      <c r="I1296" s="2052">
        <f>IF(F1296="","",F1296*G1296)</f>
        <v>9185500.7999999989</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3282</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f>IF('Part VI-Revenues &amp; Expenses'!$M$151 =0,"",'Part VI-Revenues &amp; Expenses'!$M$151)</f>
        <v>29</v>
      </c>
      <c r="G1297" s="2234">
        <f>'Part VIII-Threshold Criteria'!G57</f>
        <v>237149.55</v>
      </c>
      <c r="H1297" s="2121" t="str">
        <f>CONCATENATE("x ", F1297," units = ")</f>
        <v xml:space="preserve">x 29 units = </v>
      </c>
      <c r="I1297" s="2052">
        <f>IF(F1297="","",F1297*G1297)</f>
        <v>6877336.9499999993</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f>IF('Part VI-Revenues &amp; Expenses'!$N$151 =0,"",'Part VI-Revenues &amp; Expenses'!$N$151)</f>
        <v>17</v>
      </c>
      <c r="G1298" s="2234">
        <f>'Part VIII-Threshold Criteria'!G58</f>
        <v>298701.7</v>
      </c>
      <c r="H1298" s="2121" t="str">
        <f>CONCATENATE("x ", F1298," units = ")</f>
        <v xml:space="preserve">x 17 units = </v>
      </c>
      <c r="I1298" s="2052">
        <f>IF(F1298="","",F1298*G1298)</f>
        <v>5077928.9000000004</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95</v>
      </c>
      <c r="G1300" s="2238"/>
      <c r="H1300" s="2239"/>
      <c r="I1300" s="2240">
        <f>SUM(I1295:I1299)</f>
        <v>21140766.649999999</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195351.65</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21140766.649999999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251166.9</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6844</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95</v>
      </c>
      <c r="G1309" s="1875"/>
      <c r="H1309" s="1995">
        <f>I1286+I1293+I1300+I1307</f>
        <v>21140766.649999999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3371</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Total Development Costs are below the project maximum</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6432</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6433</v>
      </c>
      <c r="C1315" s="1818"/>
      <c r="D1315" s="1818"/>
      <c r="E1315" s="2228"/>
      <c r="F1315" s="2228"/>
      <c r="G1315" s="435" t="str">
        <f>'Part I-Project Information'!$H$82</f>
        <v>Family</v>
      </c>
      <c r="H1315" s="2228"/>
      <c r="J1315" s="2249" t="str">
        <f>IF(OR(G1315="Other Senior/Elderly",G1315= "Other Non-Senior"),'Part I-Project Information'!$M$77,"")</f>
        <v/>
      </c>
      <c r="K1315" s="435"/>
      <c r="O1315" s="2224"/>
      <c r="P1315" s="2224"/>
      <c r="Q1315" s="2224"/>
    </row>
    <row r="1316" spans="1:31" s="1852" customFormat="1" ht="10.5" customHeight="1">
      <c r="B1316" s="2170" t="s">
        <v>3371</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The applicant has elected family tenancy for this project</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3948</v>
      </c>
      <c r="M1319" s="2251" t="s">
        <v>3949</v>
      </c>
      <c r="O1319" s="2224" t="s">
        <v>1781</v>
      </c>
      <c r="P1319" s="1719"/>
      <c r="Q1319" s="1719"/>
    </row>
    <row r="1320" spans="1:31" s="1852" customFormat="1" ht="1.5" customHeight="1"/>
    <row r="1321" spans="1:31" s="1852" customFormat="1" ht="12" customHeight="1">
      <c r="A1321" s="2224" t="s">
        <v>1893</v>
      </c>
      <c r="B1321" s="2223" t="s">
        <v>3942</v>
      </c>
      <c r="C1321" s="2223"/>
      <c r="D1321" s="2223"/>
      <c r="E1321" s="2223"/>
      <c r="F1321" s="2223"/>
      <c r="G1321" s="2223"/>
      <c r="H1321" s="2223"/>
      <c r="I1321" s="2223"/>
      <c r="J1321" s="2223"/>
      <c r="L1321" s="2252" t="s">
        <v>2698</v>
      </c>
      <c r="M1321" s="2055">
        <v>2</v>
      </c>
      <c r="N1321" s="2223" t="s">
        <v>4223</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3947</v>
      </c>
      <c r="M1322" s="2252">
        <v>4</v>
      </c>
      <c r="O1322" s="2223"/>
      <c r="P1322" s="2111"/>
      <c r="Q1322" s="435"/>
    </row>
    <row r="1323" spans="1:31" s="1852" customFormat="1" ht="12" customHeight="1">
      <c r="A1323" s="2224"/>
      <c r="D1323" s="2228"/>
      <c r="E1323" s="2228"/>
      <c r="F1323" s="2228"/>
      <c r="G1323" s="2228"/>
      <c r="H1323" s="2228"/>
      <c r="I1323" s="2228"/>
      <c r="J1323" s="2228"/>
      <c r="L1323" s="2228" t="s">
        <v>6410</v>
      </c>
      <c r="M1323" s="2252"/>
      <c r="O1323" s="2223"/>
      <c r="P1323" s="2253">
        <f>'Part VIII-Threshold Criteria'!P83</f>
        <v>2</v>
      </c>
      <c r="Q1323" s="2254"/>
    </row>
    <row r="1324" spans="1:31" s="1852" customFormat="1" ht="12" customHeight="1">
      <c r="A1324" s="2255" t="s">
        <v>1895</v>
      </c>
      <c r="B1324" s="2223" t="s">
        <v>3950</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3954</v>
      </c>
      <c r="D1325" s="2223"/>
      <c r="E1325" s="2223"/>
      <c r="F1325" s="2223"/>
      <c r="G1325" s="2223"/>
      <c r="H1325" s="2223"/>
      <c r="I1325" s="2223"/>
      <c r="J1325" s="2223"/>
      <c r="K1325" s="2223"/>
      <c r="L1325" s="2223"/>
      <c r="N1325" s="2223" t="s">
        <v>4224</v>
      </c>
      <c r="O1325" s="2256"/>
      <c r="P1325" s="2230" t="str">
        <f>'Part VIII-Threshold Criteria'!P85</f>
        <v>N/ap</v>
      </c>
      <c r="Q1325" s="2164"/>
    </row>
    <row r="1326" spans="1:31" s="1852" customFormat="1" ht="12.75" customHeight="1">
      <c r="A1326" s="2255"/>
      <c r="B1326" s="2228" t="s">
        <v>1659</v>
      </c>
      <c r="C1326" s="2223" t="s">
        <v>3951</v>
      </c>
      <c r="D1326" s="2223"/>
      <c r="E1326" s="2223"/>
      <c r="F1326" s="2223"/>
      <c r="G1326" s="2223"/>
      <c r="H1326" s="2223"/>
      <c r="I1326" s="2223"/>
      <c r="J1326" s="2223"/>
      <c r="K1326" s="2223"/>
      <c r="L1326" s="2223"/>
      <c r="N1326" s="2223" t="s">
        <v>4225</v>
      </c>
      <c r="O1326" s="2256"/>
      <c r="P1326" s="2230" t="str">
        <f>'Part VIII-Threshold Criteria'!P86</f>
        <v>Agree</v>
      </c>
      <c r="Q1326" s="2164"/>
    </row>
    <row r="1327" spans="1:31" s="1852" customFormat="1" ht="12.75" customHeight="1">
      <c r="A1327" s="2224"/>
      <c r="B1327" s="2228" t="s">
        <v>1660</v>
      </c>
      <c r="C1327" s="2223" t="s">
        <v>3952</v>
      </c>
      <c r="E1327" s="2223"/>
      <c r="F1327" s="2223"/>
      <c r="G1327" s="2223"/>
      <c r="H1327" s="2223"/>
      <c r="I1327" s="2223"/>
      <c r="J1327" s="2223"/>
      <c r="K1327" s="2223"/>
      <c r="L1327" s="2223"/>
      <c r="M1327" s="2256"/>
      <c r="N1327" s="2223" t="s">
        <v>4226</v>
      </c>
      <c r="O1327" s="2256"/>
      <c r="P1327" s="2230" t="str">
        <f>'Part VIII-Threshold Criteria'!P87</f>
        <v>Agree</v>
      </c>
      <c r="Q1327" s="2164"/>
    </row>
    <row r="1328" spans="1:31" s="1852" customFormat="1" ht="12.75" customHeight="1">
      <c r="A1328" s="2257"/>
      <c r="B1328" s="2228" t="s">
        <v>2260</v>
      </c>
      <c r="C1328" s="2228" t="s">
        <v>3955</v>
      </c>
      <c r="D1328" s="435"/>
      <c r="E1328" s="435"/>
      <c r="F1328" s="435"/>
      <c r="G1328" s="435"/>
      <c r="H1328" s="435"/>
      <c r="I1328" s="1818"/>
      <c r="J1328" s="1818"/>
      <c r="N1328" s="2223" t="s">
        <v>4227</v>
      </c>
      <c r="O1328" s="2256"/>
      <c r="P1328" s="2230" t="str">
        <f>'Part VIII-Threshold Criteria'!P88</f>
        <v>N/Ap</v>
      </c>
      <c r="Q1328" s="2164"/>
    </row>
    <row r="1329" spans="1:31" s="1852" customFormat="1" ht="12.75" customHeight="1">
      <c r="A1329" s="2257"/>
      <c r="B1329" s="2228"/>
      <c r="C1329" s="2223" t="s">
        <v>3956</v>
      </c>
      <c r="D1329" s="435"/>
      <c r="E1329" s="435"/>
      <c r="F1329" s="435"/>
      <c r="G1329" s="435"/>
      <c r="H1329" s="435"/>
      <c r="I1329" s="1818"/>
      <c r="J1329" s="1818"/>
      <c r="L1329" s="2111" t="str">
        <f>'Part VIII-Threshold Criteria'!L89</f>
        <v>N/A</v>
      </c>
      <c r="M1329" s="2111"/>
      <c r="N1329" s="2111"/>
      <c r="O1329" s="2111"/>
      <c r="P1329" s="2111"/>
      <c r="Q1329" s="2111"/>
    </row>
    <row r="1330" spans="1:31" s="1852" customFormat="1" ht="12.75" customHeight="1">
      <c r="A1330" s="2257"/>
      <c r="B1330" s="2228" t="s">
        <v>1487</v>
      </c>
      <c r="C1330" s="2223" t="s">
        <v>3953</v>
      </c>
      <c r="D1330" s="2223"/>
      <c r="E1330" s="2223"/>
      <c r="F1330" s="2223"/>
      <c r="G1330" s="2223"/>
      <c r="H1330" s="2223"/>
      <c r="I1330" s="2223"/>
      <c r="J1330" s="2223"/>
      <c r="K1330" s="2223"/>
      <c r="L1330" s="2223"/>
      <c r="M1330" s="2112"/>
      <c r="N1330" s="2223" t="s">
        <v>4228</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3371</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Applicant agrees to provide the required number and kinds of services as required in the 2021 QAP for projects with a family tenancy. The project is 95 units: therefore a full-time service manager is not included in the operating budget. The project team does not anticpate using temporary staffing during lease-up to handle activities set-up and sign up. The Applicant is not planning to have a part-time Activities Manager, although we have selected "Agree" as we do not "Disagree" with this policy. The project does not involve rehabiliation of an existing congregate supportive housing development, therefore no MOU with a behavioral health agency or service provider for supportive housing services</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4219</v>
      </c>
      <c r="C1335" s="2105"/>
      <c r="D1335" s="2228"/>
      <c r="E1335" s="2228"/>
      <c r="F1335" s="2228"/>
      <c r="G1335" s="2228"/>
      <c r="H1335" s="2164" t="str">
        <f>'Part I-Project Information'!$K$41</f>
        <v>Urban</v>
      </c>
      <c r="J1335" s="2255" t="s">
        <v>4222</v>
      </c>
      <c r="K1335" s="435" t="str">
        <f>'Part I-Project Information'!$H$105</f>
        <v>Atlanta Metro</v>
      </c>
      <c r="L1335" s="2255" t="s">
        <v>3985</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Novogradac Consulting LP</v>
      </c>
      <c r="N1337" s="2111"/>
      <c r="O1337" s="2111"/>
      <c r="P1337" s="1976"/>
      <c r="Q1337" s="2164"/>
    </row>
    <row r="1338" spans="1:31" s="1852" customFormat="1" ht="12.75" customHeight="1">
      <c r="A1338" s="2255" t="s">
        <v>1895</v>
      </c>
      <c r="B1338" s="435" t="s">
        <v>4145</v>
      </c>
      <c r="D1338" s="435"/>
      <c r="E1338" s="435"/>
      <c r="F1338" s="435"/>
      <c r="L1338" s="2255" t="s">
        <v>1895</v>
      </c>
      <c r="M1338" s="2111" t="str">
        <f>'Part VIII-Threshold Criteria'!M98</f>
        <v>Five to Six months (pg. 98 of Market Study)</v>
      </c>
      <c r="N1338" s="2111"/>
      <c r="O1338" s="2111"/>
      <c r="P1338" s="1976"/>
      <c r="Q1338" s="2164"/>
    </row>
    <row r="1339" spans="1:31" s="1852" customFormat="1" ht="12.75" customHeight="1">
      <c r="A1339" s="2255" t="s">
        <v>719</v>
      </c>
      <c r="B1339" s="435" t="s">
        <v>2671</v>
      </c>
      <c r="D1339" s="435"/>
      <c r="E1339" s="435"/>
      <c r="F1339" s="435"/>
      <c r="L1339" s="2255" t="s">
        <v>719</v>
      </c>
      <c r="M1339" s="2258" t="str">
        <f>'Part VIII-Threshold Criteria'!M99</f>
        <v>95.60% (pg. 61 of Market Study)</v>
      </c>
      <c r="N1339" s="2258"/>
      <c r="O1339" s="2258"/>
      <c r="P1339" s="2259"/>
      <c r="Q1339" s="2164"/>
    </row>
    <row r="1340" spans="1:31" s="1852" customFormat="1" ht="12.75" customHeight="1">
      <c r="A1340" s="2255" t="s">
        <v>2021</v>
      </c>
      <c r="B1340" s="435" t="s">
        <v>3442</v>
      </c>
      <c r="D1340" s="435"/>
      <c r="E1340" s="435"/>
      <c r="F1340" s="435"/>
      <c r="J1340" s="2255" t="s">
        <v>3443</v>
      </c>
      <c r="K1340" s="2260">
        <f>'Part VIII-Threshold Criteria'!K100</f>
        <v>1.9E-2</v>
      </c>
      <c r="L1340" s="2261"/>
      <c r="N1340" s="2262"/>
      <c r="O1340" s="2263" t="s">
        <v>3539</v>
      </c>
      <c r="P1340" s="2260" t="str">
        <f>'Part VIII-Threshold Criteria'!P100</f>
        <v>N/A</v>
      </c>
      <c r="Q1340" s="2261"/>
    </row>
    <row r="1341" spans="1:31" s="1852" customFormat="1" ht="12.75" customHeight="1">
      <c r="A1341" s="2255" t="s">
        <v>1656</v>
      </c>
      <c r="B1341" s="435" t="s">
        <v>4146</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2019-043</v>
      </c>
      <c r="E1343" s="2111" t="str">
        <f>'Part VIII-Threshold Criteria'!E103</f>
        <v>Veranda at Groveway</v>
      </c>
      <c r="F1343" s="2111"/>
      <c r="G1343" s="2111"/>
      <c r="H1343" s="2255" t="s">
        <v>1660</v>
      </c>
      <c r="I1343" s="2230" t="str">
        <f>'Part VIII-Threshold Criteria'!I103</f>
        <v>2005-074</v>
      </c>
      <c r="J1343" s="2111" t="str">
        <f>'Part VIII-Threshold Criteria'!J103</f>
        <v>Roswell Creek</v>
      </c>
      <c r="K1343" s="2111"/>
      <c r="L1343" s="2111"/>
      <c r="M1343" s="2255" t="s">
        <v>1487</v>
      </c>
      <c r="N1343" s="2230">
        <f>'Part VIII-Threshold Criteria'!N103</f>
        <v>0</v>
      </c>
      <c r="O1343" s="2111">
        <f>'Part VIII-Threshold Criteria'!O103</f>
        <v>0</v>
      </c>
      <c r="P1343" s="2111"/>
      <c r="Q1343" s="2111"/>
    </row>
    <row r="1344" spans="1:31" s="1852" customFormat="1" ht="12.75" customHeight="1">
      <c r="C1344" s="2255" t="s">
        <v>1659</v>
      </c>
      <c r="D1344" s="2230">
        <f>'Part VIII-Threshold Criteria'!D104</f>
        <v>0</v>
      </c>
      <c r="E1344" s="2111" t="str">
        <f>'Part VIII-Threshold Criteria'!E104</f>
        <v>Manchester at Mansell</v>
      </c>
      <c r="F1344" s="2111"/>
      <c r="G1344" s="2111"/>
      <c r="H1344" s="2255" t="s">
        <v>2260</v>
      </c>
      <c r="I1344" s="2230">
        <f>'Part VIII-Threshold Criteria'!I104</f>
        <v>0</v>
      </c>
      <c r="J1344" s="2111">
        <f>'Part VIII-Threshold Criteria'!J104</f>
        <v>0</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6324</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6326</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6328</v>
      </c>
      <c r="D1347" s="435"/>
      <c r="E1347" s="435"/>
      <c r="F1347" s="435"/>
      <c r="G1347" s="435"/>
      <c r="H1347" s="435"/>
      <c r="I1347" s="1818"/>
      <c r="J1347" s="1818"/>
      <c r="K1347" s="435"/>
      <c r="L1347" s="2121"/>
      <c r="M1347" s="2121"/>
      <c r="O1347" s="2255" t="s">
        <v>3124</v>
      </c>
      <c r="P1347" s="2260">
        <f>'Part VIII-Threshold Criteria'!P107</f>
        <v>0.95</v>
      </c>
      <c r="Q1347" s="2261"/>
    </row>
    <row r="1348" spans="1:31" s="2158" customFormat="1" ht="60" customHeight="1">
      <c r="A1348" s="2224" t="s">
        <v>586</v>
      </c>
      <c r="B1348" s="2223" t="s">
        <v>7052</v>
      </c>
      <c r="C1348" s="2223"/>
      <c r="D1348" s="2223"/>
      <c r="E1348" s="2223"/>
      <c r="F1348" s="2223"/>
      <c r="G1348" s="2223"/>
      <c r="H1348" s="2223"/>
      <c r="I1348" s="2223"/>
      <c r="J1348" s="2223"/>
      <c r="K1348" s="2223"/>
      <c r="L1348" s="2223"/>
      <c r="M1348" s="2223"/>
      <c r="N1348" s="2223"/>
      <c r="O1348" s="2224" t="s">
        <v>6327</v>
      </c>
      <c r="P1348" s="2264" t="str">
        <f>'Part VIII-Threshold Criteria'!P108</f>
        <v>Yes</v>
      </c>
      <c r="Q1348" s="2252"/>
    </row>
    <row r="1349" spans="1:31" s="1818" customFormat="1" ht="12.75" customHeight="1">
      <c r="A1349" s="2255"/>
      <c r="B1349" s="2228" t="s">
        <v>1659</v>
      </c>
      <c r="C1349" s="435" t="s">
        <v>4275</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3371</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The market study provided meets the requirements of the 2021 Market Study manual. Two DCA funded projects located in PMA are Roswell Creek and Manchester at Mansell. Per the market anaylst the Roswell Creek property was first developed in 1970 and renovated in 2005. The Manchester at Mansell project was first developed in 1984 and renovated in 2008 utilizing bond financing, DCA online records date back to 2013 for bond financed projects. 
Based on the performance of the affordable developments located in Roswell and surrounding communities, it appears that affordable housing in the area is in high demand.   The City of Roswell has barriers to entry for affordable housing (zoning, high land costs, etc.) therefore there are very little affordable housing options.  There are a limited number of affordable rental development located in the PMA, with those properties exhibiting stable vacancy and rent growth over the past 12 months. Additionally, capture rates for the Subject indicate an adequate number of income-qualified households for the proposed Subject units. Overall, we believe that the current performance of the affordable multifamily market indicates demand for affordable housing in Roswell.</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4229</v>
      </c>
      <c r="C1356" s="435"/>
      <c r="E1356" s="435"/>
      <c r="F1356" s="435"/>
      <c r="G1356" s="435"/>
      <c r="H1356" s="435"/>
      <c r="I1356" s="435"/>
      <c r="J1356" s="435"/>
      <c r="K1356" s="435"/>
      <c r="L1356" s="2121"/>
      <c r="M1356" s="2121"/>
      <c r="O1356" s="2255" t="s">
        <v>1893</v>
      </c>
      <c r="P1356" s="2230" t="str">
        <f>'Part VIII-Threshold Criteria'!P116</f>
        <v>Yes</v>
      </c>
      <c r="Q1356" s="2164"/>
    </row>
    <row r="1357" spans="1:31" s="1852" customFormat="1" ht="12.75" customHeight="1">
      <c r="B1357" s="2228" t="s">
        <v>1658</v>
      </c>
      <c r="C1357" s="435" t="s">
        <v>527</v>
      </c>
      <c r="E1357" s="1818"/>
      <c r="F1357" s="1818"/>
      <c r="G1357" s="1818"/>
      <c r="H1357" s="1818"/>
      <c r="I1357" s="1818"/>
      <c r="L1357" s="2255" t="s">
        <v>528</v>
      </c>
      <c r="M1357" s="2111" t="str">
        <f>'Part VIII-Threshold Criteria'!M117</f>
        <v>Everson, Huber &amp; Associates, LC</v>
      </c>
      <c r="N1357" s="2111"/>
      <c r="O1357" s="2111"/>
      <c r="P1357" s="1976"/>
      <c r="Q1357" s="2164"/>
    </row>
    <row r="1358" spans="1:31" s="1818" customFormat="1" ht="12.75" customHeight="1">
      <c r="B1358" s="2121" t="s">
        <v>1659</v>
      </c>
      <c r="C1358" s="435" t="s">
        <v>4011</v>
      </c>
      <c r="O1358" s="2255" t="s">
        <v>1659</v>
      </c>
      <c r="P1358" s="2230" t="str">
        <f>'Part VIII-Threshold Criteria'!P118</f>
        <v>Yes</v>
      </c>
      <c r="Q1358" s="2164"/>
    </row>
    <row r="1359" spans="1:31" s="1818" customFormat="1" ht="12.75" customHeight="1">
      <c r="B1359" s="2228" t="s">
        <v>1660</v>
      </c>
      <c r="C1359" s="435" t="s">
        <v>4256</v>
      </c>
      <c r="O1359" s="2224" t="s">
        <v>1660</v>
      </c>
      <c r="P1359" s="2265">
        <f>'Part VIII-Threshold Criteria'!P119</f>
        <v>44322</v>
      </c>
      <c r="Q1359" s="2266"/>
    </row>
    <row r="1360" spans="1:31" s="1852" customFormat="1" ht="12.75" customHeight="1">
      <c r="A1360" s="2164"/>
      <c r="B1360" s="2228" t="s">
        <v>2260</v>
      </c>
      <c r="C1360" s="2121" t="s">
        <v>3957</v>
      </c>
      <c r="D1360" s="2105"/>
      <c r="E1360" s="2105"/>
      <c r="F1360" s="2105"/>
      <c r="G1360" s="2105"/>
      <c r="H1360" s="2105"/>
      <c r="I1360" s="2105"/>
      <c r="J1360" s="2105"/>
      <c r="K1360" s="2105"/>
      <c r="L1360" s="2105"/>
      <c r="M1360" s="2105"/>
      <c r="O1360" s="2224" t="s">
        <v>2260</v>
      </c>
      <c r="P1360" s="2230" t="str">
        <f>'Part VIII-Threshold Criteria'!P120</f>
        <v>Yes</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t="str">
        <f>'Part VIII-Threshold Criteria'!P121</f>
        <v>Yes</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t="str">
        <f>'Part VIII-Threshold Criteria'!P122</f>
        <v>Yes</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t="str">
        <f>'Part VIII-Threshold Criteria'!P123</f>
        <v>Yes</v>
      </c>
      <c r="Q1363" s="2164"/>
    </row>
    <row r="1364" spans="1:31" s="2158" customFormat="1" ht="23.25" customHeight="1">
      <c r="A1364" s="2252"/>
      <c r="B1364" s="2228" t="s">
        <v>489</v>
      </c>
      <c r="C1364" s="2223" t="s">
        <v>4148</v>
      </c>
      <c r="D1364" s="2223"/>
      <c r="E1364" s="2223"/>
      <c r="F1364" s="2223"/>
      <c r="G1364" s="2223"/>
      <c r="H1364" s="2223"/>
      <c r="I1364" s="2223"/>
      <c r="J1364" s="2223"/>
      <c r="K1364" s="2223"/>
      <c r="L1364" s="2223"/>
      <c r="M1364" s="2223"/>
      <c r="N1364" s="2223"/>
      <c r="O1364" s="2224" t="s">
        <v>489</v>
      </c>
      <c r="P1364" s="2230" t="str">
        <f>'Part VIII-Threshold Criteria'!P124</f>
        <v>No</v>
      </c>
      <c r="Q1364" s="2252"/>
    </row>
    <row r="1365" spans="1:31" s="1852" customFormat="1" ht="12.75" customHeight="1">
      <c r="A1365" s="2255" t="s">
        <v>1895</v>
      </c>
      <c r="B1365" s="435" t="s">
        <v>4147</v>
      </c>
      <c r="C1365" s="435"/>
      <c r="E1365" s="435"/>
      <c r="F1365" s="435"/>
      <c r="G1365" s="435"/>
      <c r="H1365" s="435"/>
      <c r="I1365" s="435"/>
      <c r="J1365" s="435"/>
      <c r="K1365" s="435"/>
      <c r="L1365" s="435"/>
      <c r="M1365" s="435"/>
      <c r="O1365" s="2255" t="s">
        <v>1895</v>
      </c>
      <c r="P1365" s="2230" t="str">
        <f>'Part VIII-Threshold Criteria'!P125</f>
        <v>Yes</v>
      </c>
      <c r="Q1365" s="2164"/>
    </row>
    <row r="1366" spans="1:31" s="1852" customFormat="1" ht="12.75" customHeight="1">
      <c r="B1366" s="2228" t="s">
        <v>1658</v>
      </c>
      <c r="C1366" s="435" t="s">
        <v>4278</v>
      </c>
      <c r="D1366" s="435"/>
      <c r="E1366" s="435"/>
      <c r="F1366" s="435"/>
      <c r="G1366" s="435"/>
      <c r="H1366" s="435"/>
      <c r="I1366" s="435"/>
      <c r="J1366" s="435"/>
      <c r="K1366" s="435"/>
      <c r="L1366" s="435"/>
      <c r="M1366" s="435"/>
      <c r="O1366" s="2224" t="s">
        <v>1658</v>
      </c>
      <c r="P1366" s="2230" t="str">
        <f>'Part VIII-Threshold Criteria'!P126</f>
        <v>No</v>
      </c>
      <c r="Q1366" s="2164"/>
    </row>
    <row r="1367" spans="1:31" s="1852" customFormat="1" ht="12.75" customHeight="1">
      <c r="A1367" s="2255"/>
      <c r="B1367" s="2121" t="s">
        <v>1659</v>
      </c>
      <c r="C1367" s="435" t="s">
        <v>4277</v>
      </c>
      <c r="D1367" s="435"/>
      <c r="E1367" s="435"/>
      <c r="F1367" s="435"/>
      <c r="G1367" s="435"/>
      <c r="H1367" s="435"/>
      <c r="I1367" s="435"/>
      <c r="J1367" s="435"/>
      <c r="K1367" s="435"/>
      <c r="L1367" s="435"/>
      <c r="M1367" s="435"/>
      <c r="O1367" s="2255" t="s">
        <v>1659</v>
      </c>
      <c r="P1367" s="2230" t="str">
        <f>'Part VIII-Threshold Criteria'!P127</f>
        <v>N/a</v>
      </c>
      <c r="Q1367" s="2164"/>
    </row>
    <row r="1368" spans="1:31" s="1852" customFormat="1" ht="10.5" customHeight="1">
      <c r="B1368" s="2170" t="s">
        <v>3371</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The applicant has entered into an Option to Ground Lease with the Housing Authority of the City of Roswell who is a co-general partner/managing member owner and developer in the project. Per the 2021 QAP an appraisal was provided to ensure the value of the land or pre-paid ground lease was not inflated.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6439</v>
      </c>
      <c r="D1374" s="435"/>
      <c r="E1374" s="435"/>
      <c r="F1374" s="435"/>
      <c r="G1374" s="435"/>
      <c r="H1374" s="435"/>
      <c r="I1374" s="1818"/>
      <c r="J1374" s="1818"/>
      <c r="K1374" s="2255" t="s">
        <v>1893</v>
      </c>
      <c r="L1374" s="2183" t="str">
        <f>'Part VIII-Threshold Criteria'!L134</f>
        <v>Tri-State Environmental, Inc.</v>
      </c>
      <c r="M1374" s="2183"/>
      <c r="N1374" s="2183"/>
      <c r="O1374" s="2183"/>
      <c r="P1374" s="2183"/>
      <c r="Q1374" s="2164"/>
    </row>
    <row r="1375" spans="1:31" s="1852" customFormat="1" ht="12" customHeight="1">
      <c r="B1375" s="2112" t="s">
        <v>6440</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Harry Walls Environmental Consulting</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t="str">
        <f>'Part VIII-Threshold Criteria'!P139</f>
        <v>&lt;65</v>
      </c>
      <c r="Q1379" s="2164"/>
    </row>
    <row r="1380" spans="1:17" s="1852" customFormat="1" ht="12" customHeight="1">
      <c r="A1380" s="2141"/>
      <c r="B1380" s="2121" t="s">
        <v>1660</v>
      </c>
      <c r="C1380" s="435" t="s">
        <v>3943</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4038</v>
      </c>
      <c r="I1382" s="435" t="s">
        <v>6329</v>
      </c>
      <c r="K1382" s="2230" t="str">
        <f>'Part VIII-Threshold Criteria'!K142</f>
        <v>No</v>
      </c>
      <c r="L1382" s="2164"/>
      <c r="M1382" s="2255" t="s">
        <v>4042</v>
      </c>
      <c r="N1382" s="2112" t="s">
        <v>3417</v>
      </c>
      <c r="O1382" s="2121"/>
      <c r="P1382" s="2230" t="str">
        <f>'Part VIII-Threshold Criteria'!P142</f>
        <v>No</v>
      </c>
      <c r="Q1382" s="2164"/>
    </row>
    <row r="1383" spans="1:17" s="1852" customFormat="1" ht="12.75" customHeight="1">
      <c r="B1383" s="2121" t="s">
        <v>1659</v>
      </c>
      <c r="C1383" s="435" t="s">
        <v>6441</v>
      </c>
      <c r="E1383" s="435"/>
      <c r="F1383" s="2230" t="str">
        <f>'Part VIII-Threshold Criteria'!F143</f>
        <v>No</v>
      </c>
      <c r="G1383" s="2164"/>
      <c r="H1383" s="2255" t="s">
        <v>4039</v>
      </c>
      <c r="I1383" s="435" t="s">
        <v>6330</v>
      </c>
      <c r="K1383" s="2230" t="str">
        <f>'Part VIII-Threshold Criteria'!K143</f>
        <v>Yes</v>
      </c>
      <c r="L1383" s="2164"/>
      <c r="M1383" s="2255" t="s">
        <v>4043</v>
      </c>
      <c r="N1383" s="435" t="s">
        <v>1489</v>
      </c>
      <c r="P1383" s="2230" t="str">
        <f>'Part VIII-Threshold Criteria'!P143</f>
        <v>No</v>
      </c>
      <c r="Q1383" s="2164"/>
    </row>
    <row r="1384" spans="1:17" s="1852" customFormat="1" ht="12" customHeight="1">
      <c r="A1384" s="435"/>
      <c r="B1384" s="2121" t="s">
        <v>1660</v>
      </c>
      <c r="C1384" s="435" t="s">
        <v>6442</v>
      </c>
      <c r="E1384" s="435"/>
      <c r="F1384" s="2230" t="str">
        <f>'Part VIII-Threshold Criteria'!F144</f>
        <v>No</v>
      </c>
      <c r="G1384" s="2164"/>
      <c r="H1384" s="2255" t="s">
        <v>4040</v>
      </c>
      <c r="I1384" s="2112" t="s">
        <v>6443</v>
      </c>
      <c r="K1384" s="2230" t="str">
        <f>'Part VIII-Threshold Criteria'!K144</f>
        <v>Yes</v>
      </c>
      <c r="L1384" s="2164"/>
      <c r="M1384" s="2255" t="s">
        <v>6444</v>
      </c>
      <c r="N1384" s="2112" t="s">
        <v>6331</v>
      </c>
      <c r="P1384" s="2230" t="str">
        <f>'Part VIII-Threshold Criteria'!P144</f>
        <v>No</v>
      </c>
      <c r="Q1384" s="2164"/>
    </row>
    <row r="1385" spans="1:17" s="1852" customFormat="1" ht="12" customHeight="1">
      <c r="A1385" s="435"/>
      <c r="B1385" s="2121" t="s">
        <v>2260</v>
      </c>
      <c r="C1385" s="2112" t="s">
        <v>2503</v>
      </c>
      <c r="E1385" s="435"/>
      <c r="F1385" s="2230" t="str">
        <f>'Part VIII-Threshold Criteria'!F145</f>
        <v>No</v>
      </c>
      <c r="G1385" s="2164"/>
      <c r="H1385" s="2255" t="s">
        <v>4041</v>
      </c>
      <c r="I1385" s="2223" t="s">
        <v>6446</v>
      </c>
      <c r="J1385" s="2223"/>
      <c r="K1385" s="2223"/>
      <c r="M1385" s="2255" t="s">
        <v>6445</v>
      </c>
      <c r="N1385" s="435" t="s">
        <v>141</v>
      </c>
      <c r="P1385" s="2230" t="str">
        <f>'Part VIII-Threshold Criteria'!P145</f>
        <v>No</v>
      </c>
      <c r="Q1385" s="2164"/>
    </row>
    <row r="1386" spans="1:17" s="1852" customFormat="1" ht="12" customHeight="1">
      <c r="A1386" s="435"/>
      <c r="B1386" s="2255" t="s">
        <v>4037</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6465</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Not Applicable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3259</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Yes</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Yes</v>
      </c>
      <c r="Q1392" s="2164"/>
    </row>
    <row r="1393" spans="1:31" s="1852" customFormat="1" ht="12.75" customHeight="1">
      <c r="A1393" s="2164"/>
      <c r="B1393" s="2121" t="s">
        <v>2260</v>
      </c>
      <c r="C1393" s="435" t="s">
        <v>4024</v>
      </c>
      <c r="E1393" s="435"/>
      <c r="F1393" s="435"/>
      <c r="G1393" s="435"/>
      <c r="H1393" s="435"/>
      <c r="I1393" s="1818"/>
      <c r="J1393" s="1818"/>
      <c r="K1393" s="435"/>
      <c r="L1393" s="435"/>
      <c r="M1393" s="435"/>
      <c r="O1393" s="2255" t="s">
        <v>2260</v>
      </c>
      <c r="P1393" s="2230" t="str">
        <f>'Part VIII-Threshold Criteria'!P153</f>
        <v>No</v>
      </c>
      <c r="Q1393" s="2164"/>
    </row>
    <row r="1394" spans="1:31" s="1852" customFormat="1" ht="12" customHeight="1">
      <c r="A1394" s="2112" t="s">
        <v>4149</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7128</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3371</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Our environmental professional did discover both asbestos and lead as part of their testing. Lead, at levels of concern, was only found in a single unoccupied unit's window seal and is in the process of being remediated. Asbestos was discovered in insulations in attic spaces (where tenants cannot access). There is currently an O&amp;M manual in place for current operations and remediation of all asbestos and lead is included in our demolition plans for the new development. This project will comply with all applicable requirements and standards per the 2021 QAP and 2021 DCA Environmental Manual. Per the QAP, Site and Neighborhood Standards are only required for projects utilizing DCA awarded Federal Funds. Therefore, no HOME site and Neighborhood Standards review is required.  Our project does not include Wetlands or Floodplains so the 8-Step process is not requried.  </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7053</v>
      </c>
      <c r="D1403" s="435"/>
      <c r="E1403" s="435"/>
      <c r="F1403" s="435"/>
      <c r="G1403" s="435"/>
      <c r="K1403" s="435" t="s">
        <v>2555</v>
      </c>
      <c r="M1403" s="2267">
        <f>'Part VIII-Threshold Criteria'!M163</f>
        <v>44926</v>
      </c>
      <c r="N1403" s="2267"/>
      <c r="O1403" s="2255" t="s">
        <v>1658</v>
      </c>
      <c r="P1403" s="2230" t="str">
        <f>'Part VIII-Threshold Criteria'!P163</f>
        <v>Yes</v>
      </c>
      <c r="Q1403" s="2164"/>
    </row>
    <row r="1404" spans="1:31" s="1852" customFormat="1" ht="12" customHeight="1">
      <c r="A1404" s="2255"/>
      <c r="B1404" s="2121" t="s">
        <v>1659</v>
      </c>
      <c r="C1404" s="435" t="s">
        <v>7054</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Ground lease/Option:</v>
      </c>
      <c r="H1405" s="435" t="str">
        <f>IF(M1405="Ground lease/Option","Annual Pymt:","")</f>
        <v>Annual Pymt:</v>
      </c>
      <c r="I1405" s="2199">
        <f>IF(M1405="Ground lease/Option",'Part VI-Revenues &amp; Expenses'!$K$248,"")</f>
        <v>0</v>
      </c>
      <c r="J1405" s="2255" t="str">
        <f>IF(M1405="Ground lease/Option","Term:","")</f>
        <v>Term:</v>
      </c>
      <c r="K1405" s="2121">
        <f>IF(M1405="Ground lease/Option",'Part VI-Revenues &amp; Expenses'!$N$248,"")</f>
        <v>0</v>
      </c>
      <c r="L1405" s="2255" t="s">
        <v>1895</v>
      </c>
      <c r="M1405" s="2268" t="str">
        <f>'Part VIII-Threshold Criteria'!M165</f>
        <v>Ground lease/Option</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Oak Street I LLC</v>
      </c>
      <c r="L1406" s="2111"/>
      <c r="M1406" s="2111"/>
      <c r="N1406" s="2111"/>
      <c r="O1406" s="2111"/>
      <c r="P1406" s="2111"/>
      <c r="Q1406" s="2164"/>
    </row>
    <row r="1407" spans="1:31" s="1852" customFormat="1" ht="21.75" customHeight="1">
      <c r="A1407" s="2224" t="s">
        <v>2021</v>
      </c>
      <c r="B1407" s="2223" t="s">
        <v>6447</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3371</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 xml:space="preserve">Oak Street I LLC and the Housing Authority of the city of Roswell (RHA) have executed an option to enter into a Long-Term Ground Lease. </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3365</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3958</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3366</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4006</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3371</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project site is bound on all sides by public, legally accessible, paved roads. The documentation required per the 2021 DCA QAP is located in Tab 9</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6377</v>
      </c>
      <c r="O1423" s="2224" t="s">
        <v>1781</v>
      </c>
      <c r="P1423" s="1719"/>
      <c r="Q1423" s="1719"/>
    </row>
    <row r="1424" spans="1:44" s="1852" customFormat="1" ht="11.45" customHeight="1">
      <c r="B1424" s="2112" t="s">
        <v>6448</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6333</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4008</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7129</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3367</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Yes</v>
      </c>
      <c r="Q1432" s="2252"/>
    </row>
    <row r="1433" spans="1:31" s="2158" customFormat="1" ht="21.75" customHeight="1">
      <c r="A1433" s="2224"/>
      <c r="B1433" s="2228" t="s">
        <v>1488</v>
      </c>
      <c r="C1433" s="2223" t="s">
        <v>3444</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3371</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zoning confirmation letter included in Tab 10 states that the zoning of the project meets the requirements of the City of Roswell Zoning Ordinance and will not involve the development of prime or unique farmland.</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6377</v>
      </c>
      <c r="G1441" s="2228"/>
      <c r="J1441" s="2223"/>
      <c r="K1441" s="2223"/>
      <c r="L1441" s="2223"/>
      <c r="M1441" s="2223"/>
      <c r="N1441" s="2223"/>
      <c r="O1441" s="2224" t="s">
        <v>1781</v>
      </c>
      <c r="P1441" s="1719"/>
      <c r="Q1441" s="1719"/>
    </row>
    <row r="1442" spans="1:44" s="1852" customFormat="1" ht="12.75" customHeight="1">
      <c r="B1442" s="2112" t="s">
        <v>6448</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Not applicable</v>
      </c>
      <c r="K1444" s="2111"/>
      <c r="L1444" s="2111"/>
      <c r="M1444" s="2111"/>
      <c r="N1444" s="2111"/>
      <c r="O1444" s="2255" t="s">
        <v>1658</v>
      </c>
      <c r="P1444" s="2230" t="str">
        <f>'Part VIII-Threshold Criteria'!P204</f>
        <v>No</v>
      </c>
      <c r="Q1444" s="2164"/>
    </row>
    <row r="1445" spans="1:44" s="1852" customFormat="1" ht="12.75" customHeight="1">
      <c r="A1445" s="2141"/>
      <c r="B1445" s="2170" t="s">
        <v>3371</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Gas will not be utilized on the subject development as the property will be all electric. A letter from Georgia Power meeting the DCA QAP 2021 requirements is included in Tab 11</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6378</v>
      </c>
      <c r="J1450" s="2228"/>
      <c r="K1450" s="2228"/>
      <c r="L1450" s="2228"/>
      <c r="M1450" s="2228"/>
      <c r="O1450" s="2224" t="s">
        <v>1781</v>
      </c>
      <c r="P1450" s="1719"/>
      <c r="Q1450" s="1719"/>
    </row>
    <row r="1451" spans="1:44" s="1852" customFormat="1" ht="12.75" customHeight="1">
      <c r="B1451" s="2112" t="s">
        <v>6448</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Roswell</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Fulton County</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3448</v>
      </c>
      <c r="D1454" s="435"/>
      <c r="E1454" s="435"/>
      <c r="F1454" s="435"/>
      <c r="G1454" s="435"/>
      <c r="H1454" s="435"/>
      <c r="I1454" s="435"/>
      <c r="J1454" s="435"/>
      <c r="K1454" s="1818"/>
      <c r="L1454" s="435"/>
      <c r="M1454" s="435"/>
      <c r="O1454" s="2255" t="s">
        <v>1895</v>
      </c>
      <c r="P1454" s="2230" t="str">
        <f>'Part VIII-Threshold Criteria'!P214</f>
        <v>Yes</v>
      </c>
      <c r="Q1454" s="2164"/>
    </row>
    <row r="1455" spans="1:44" s="1852" customFormat="1" ht="12.75" customHeight="1">
      <c r="A1455" s="2255" t="s">
        <v>719</v>
      </c>
      <c r="B1455" s="435" t="s">
        <v>3449</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3371</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Water and Sewer letters meeting the DCA QAP 2021 requirements are included in Tab 12</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7130</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3944</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3945</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7131</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7055</v>
      </c>
      <c r="D1468" s="435"/>
      <c r="E1468" s="435"/>
      <c r="F1468" s="435"/>
      <c r="G1468" s="435"/>
      <c r="H1468" s="435"/>
      <c r="I1468" s="435"/>
      <c r="J1468" s="435"/>
      <c r="K1468" s="1818"/>
      <c r="L1468" s="1818"/>
      <c r="M1468" s="1818"/>
      <c r="N1468" s="2255" t="s">
        <v>3272</v>
      </c>
      <c r="O1468" s="2273">
        <f>'Part VI-Revenues &amp; Expenses'!$P$67</f>
        <v>95</v>
      </c>
      <c r="P1468" s="2112" t="s">
        <v>4034</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4035</v>
      </c>
      <c r="D1469" s="435"/>
      <c r="E1469" s="435"/>
      <c r="F1469" s="435"/>
      <c r="H1469" s="2255" t="s">
        <v>4036</v>
      </c>
      <c r="I1469" s="435" t="s">
        <v>7132</v>
      </c>
      <c r="M1469" s="1818"/>
      <c r="N1469" s="1818"/>
      <c r="O1469" s="2044"/>
      <c r="P1469" s="2129" t="s">
        <v>743</v>
      </c>
      <c r="Q1469" s="2129" t="s">
        <v>4033</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 xml:space="preserve">Furnished Arts &amp; Craft /Activity Center </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 xml:space="preserve">Equipped Computer Center and WiFi </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4044</v>
      </c>
      <c r="C1473" s="2226" t="str">
        <f>'Part VIII-Threshold Criteria'!C233</f>
        <v>(Select an amenity from options provided here)</v>
      </c>
      <c r="D1473" s="2226"/>
      <c r="E1473" s="2226"/>
      <c r="F1473" s="2226"/>
      <c r="G1473" s="2226"/>
      <c r="H1473" s="2255" t="s">
        <v>4044</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6335</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6450</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6311</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No</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3959</v>
      </c>
      <c r="E1483" s="1818"/>
      <c r="F1483" s="1818"/>
      <c r="G1483" s="2121"/>
      <c r="H1483" s="2121"/>
      <c r="I1483" s="1818"/>
      <c r="J1483" s="2121"/>
      <c r="K1483" s="1818"/>
      <c r="L1483" s="2121"/>
      <c r="M1483" s="2121"/>
      <c r="O1483" s="2255" t="s">
        <v>1659</v>
      </c>
      <c r="P1483" s="2230" t="str">
        <f>'Part VIII-Threshold Criteria'!P243</f>
        <v>No</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3371</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 xml:space="preserve">The proposed development consists of 95 units; only two additional site amenities are required.   Units will have washer &amp; dryer "hookups" Only as required by DCA Architectural Manual.  </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6336</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6339</v>
      </c>
    </row>
    <row r="1490" spans="1:44" s="1852" customFormat="1" ht="10.5" customHeight="1">
      <c r="A1490" s="2224"/>
      <c r="B1490" s="435" t="s">
        <v>6341</v>
      </c>
      <c r="C1490" s="1818"/>
      <c r="D1490" s="1818"/>
      <c r="E1490" s="1818"/>
      <c r="F1490" s="1818"/>
      <c r="G1490" s="1818"/>
      <c r="H1490" s="1818"/>
      <c r="I1490" s="1818"/>
      <c r="J1490" s="2044" t="s">
        <v>6340</v>
      </c>
      <c r="K1490" s="435" t="s">
        <v>6341</v>
      </c>
      <c r="L1490" s="1818"/>
      <c r="M1490" s="1818"/>
      <c r="N1490" s="1818"/>
      <c r="O1490" s="1818"/>
      <c r="P1490" s="1818"/>
      <c r="Q1490" s="2044" t="s">
        <v>6340</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6342</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6338</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6337</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3371</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Not applicable</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4150</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6451</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6452</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6453</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6463</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6464</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3450</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3376</v>
      </c>
      <c r="C1517" s="2223"/>
      <c r="D1517" s="2223"/>
      <c r="E1517" s="2223"/>
      <c r="F1517" s="2223"/>
      <c r="G1517" s="2223"/>
      <c r="H1517" s="2112" t="s">
        <v>3531</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3532</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3533</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3534</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6821</v>
      </c>
      <c r="C1521" s="2223" t="s">
        <v>7133</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3371</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Not applicable</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3519</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4232</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3373</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3374</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4259</v>
      </c>
      <c r="D1531" s="2223"/>
      <c r="E1531" s="2223"/>
      <c r="F1531" s="2223"/>
      <c r="G1531" s="2223"/>
      <c r="H1531" s="2223"/>
      <c r="I1531" s="2223"/>
      <c r="J1531" s="2223"/>
      <c r="K1531" s="2223"/>
      <c r="L1531" s="2223"/>
      <c r="M1531" s="2223"/>
      <c r="N1531" s="2223"/>
      <c r="O1531" s="2224" t="s">
        <v>4260</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3375</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6343</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3371</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Conceptual Site Development Plan meets all DCA requirements. Location and Vicinity Maps show geo-coordinates and entire region and municipality. Site pictures are in color, numbered, dated and include descriptions. All site photos are keyed to the site map. The most recent online satelite map images show approximate boundaires of the subject property.</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3520</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6451</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6455</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4025</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6454</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6456</v>
      </c>
      <c r="D1546" s="1818"/>
      <c r="E1546" s="1818"/>
      <c r="N1546" s="2283" t="s">
        <v>6457</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3371</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applicant agrees to comply with DCA's building sustainability standards. Randy Clack of Pennrose LLC (who is affliated with the managing General Partner and Developer) participated in the DCA Green Building Webinar. A draft EarthCraft worksheet and a copy of the Green Building Certification is included in the application folder.</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3518</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6451</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7056</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3451</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4258</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6458</v>
      </c>
      <c r="D1557" s="2223"/>
      <c r="E1557" s="2223"/>
      <c r="F1557" s="2223"/>
      <c r="G1557" s="2223"/>
      <c r="H1557" s="2223"/>
      <c r="I1557" s="2223"/>
      <c r="J1557" s="2223"/>
      <c r="K1557" s="2223"/>
      <c r="L1557" s="2223"/>
      <c r="M1557" s="2223"/>
      <c r="N1557" s="2223"/>
      <c r="O1557" s="2224" t="s">
        <v>1660</v>
      </c>
      <c r="P1557" s="2264" t="str">
        <f>'Part VIII-Threshold Criteria'!P317</f>
        <v>No</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3431</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7057</v>
      </c>
      <c r="E1559" s="2223"/>
      <c r="F1559" s="2223"/>
      <c r="G1559" s="2223"/>
      <c r="H1559" s="2223"/>
      <c r="I1559" s="2223"/>
      <c r="J1559" s="2112" t="s">
        <v>3399</v>
      </c>
      <c r="K1559" s="2112"/>
      <c r="L1559" s="2112"/>
      <c r="M1559" s="2287" t="s">
        <v>3378</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3379</v>
      </c>
      <c r="N1560" s="2164" t="s">
        <v>3398</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3536</v>
      </c>
      <c r="K1561" s="2288">
        <f>'Part VIII-Threshold Criteria'!K321</f>
        <v>5</v>
      </c>
      <c r="L1561" s="1858" t="str">
        <f>IF(K1561&lt;M1561,"Check!!!","")</f>
        <v/>
      </c>
      <c r="M1561" s="2254">
        <f>ROUNDUP('Part VI-Revenues &amp; Expenses'!$P$67*'Part VIII-Threshold Criteria'!N1511,0)</f>
        <v>0</v>
      </c>
      <c r="N1561" s="2289">
        <f>'DCA Underwriting Assumptions'!$Q$155</f>
        <v>0.05</v>
      </c>
      <c r="O1561" s="2255" t="s">
        <v>3287</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7058</v>
      </c>
      <c r="E1562" s="2223"/>
      <c r="F1562" s="2223"/>
      <c r="G1562" s="2223"/>
      <c r="H1562" s="2223"/>
      <c r="I1562" s="2290" t="s">
        <v>3537</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7059</v>
      </c>
      <c r="D1564" s="2223"/>
      <c r="E1564" s="2223"/>
      <c r="F1564" s="2223"/>
      <c r="G1564" s="2223"/>
      <c r="H1564" s="2223"/>
      <c r="I1564" s="435" t="s">
        <v>3538</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3432</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3289</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3290</v>
      </c>
      <c r="D1569" s="2223"/>
      <c r="E1569" s="2223"/>
      <c r="F1569" s="2223"/>
      <c r="G1569" s="2223"/>
      <c r="H1569" s="2223"/>
      <c r="I1569" s="2223" t="s">
        <v>3377</v>
      </c>
      <c r="J1569" s="2223"/>
      <c r="K1569" s="2223"/>
      <c r="L1569" s="2226" t="str">
        <f>'Part VIII-Threshold Criteria'!L329</f>
        <v>Diligent Construction Services, Inc.</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3288</v>
      </c>
      <c r="D1570" s="2223"/>
      <c r="E1570" s="2223"/>
      <c r="F1570" s="2223"/>
      <c r="G1570" s="2223"/>
      <c r="H1570" s="2223"/>
      <c r="I1570" s="2223"/>
      <c r="J1570" s="2223"/>
      <c r="K1570" s="2223"/>
      <c r="L1570" s="2223"/>
      <c r="M1570" s="2223"/>
      <c r="N1570" s="2223"/>
      <c r="O1570" s="2224" t="s">
        <v>3293</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4007</v>
      </c>
      <c r="D1571" s="2223"/>
      <c r="E1571" s="2223"/>
      <c r="F1571" s="2223"/>
      <c r="G1571" s="2223"/>
      <c r="H1571" s="2223"/>
      <c r="I1571" s="2223"/>
      <c r="J1571" s="2223"/>
      <c r="K1571" s="2223"/>
      <c r="L1571" s="2223"/>
      <c r="M1571" s="2223"/>
      <c r="N1571" s="2223"/>
      <c r="O1571" s="2224" t="s">
        <v>3294</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3291</v>
      </c>
      <c r="D1572" s="2223"/>
      <c r="E1572" s="2223"/>
      <c r="F1572" s="2223"/>
      <c r="G1572" s="2223"/>
      <c r="H1572" s="2223"/>
      <c r="I1572" s="2223"/>
      <c r="J1572" s="2223"/>
      <c r="K1572" s="2223"/>
      <c r="L1572" s="2223"/>
      <c r="M1572" s="2223"/>
      <c r="N1572" s="2223"/>
      <c r="O1572" s="2224" t="s">
        <v>3295</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3292</v>
      </c>
      <c r="D1573" s="2223"/>
      <c r="E1573" s="2223"/>
      <c r="F1573" s="2223"/>
      <c r="G1573" s="2223"/>
      <c r="H1573" s="2223"/>
      <c r="I1573" s="2223"/>
      <c r="J1573" s="2223"/>
      <c r="K1573" s="2223"/>
      <c r="L1573" s="2223"/>
      <c r="M1573" s="2223"/>
      <c r="N1573" s="2223"/>
      <c r="O1573" s="2224" t="s">
        <v>3296</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3371</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agrees to comply with all required DCA accessibility regulations and standards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3521</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3946</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7060</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No</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Upgraded "architectural dimensional" shingles, or roofing materials  (warranty 40 years or greater)</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6344</v>
      </c>
      <c r="D1588" s="2223"/>
      <c r="E1588" s="2223"/>
      <c r="F1588" s="2223"/>
      <c r="G1588" s="1864" t="s">
        <v>6345</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6610</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6611</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7061</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3371</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project will comply with all applicable DCA 2021 achitectural design and quality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3522</v>
      </c>
      <c r="B1597" s="2115" t="s">
        <v>3540</v>
      </c>
      <c r="C1597" s="2105"/>
      <c r="D1597" s="2228"/>
      <c r="E1597" s="2228"/>
      <c r="F1597" s="2228"/>
      <c r="G1597" s="2228"/>
      <c r="H1597" s="2228"/>
      <c r="O1597" s="2224" t="s">
        <v>1781</v>
      </c>
      <c r="P1597" s="1719"/>
      <c r="Q1597" s="1719"/>
    </row>
    <row r="1598" spans="1:256 1523:1523" s="1852" customFormat="1" ht="11.45" customHeight="1">
      <c r="A1598" s="2255" t="s">
        <v>1893</v>
      </c>
      <c r="B1598" s="2112" t="s">
        <v>6376</v>
      </c>
      <c r="O1598" s="2224" t="s">
        <v>1893</v>
      </c>
      <c r="P1598" s="2230" t="str">
        <f>'Part VIII-Threshold Criteria'!P358</f>
        <v>Yes</v>
      </c>
      <c r="Q1598" s="2164"/>
    </row>
    <row r="1599" spans="1:256 1523:1523" s="1852" customFormat="1" ht="11.45" customHeight="1">
      <c r="A1599" s="2224" t="s">
        <v>1895</v>
      </c>
      <c r="B1599" s="2112" t="s">
        <v>3512</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3414</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Principal</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3371</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applicant is deemed qualified as outlined in the executed DCA 2021 Qualification Determination.</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3525</v>
      </c>
      <c r="B1609" s="1818" t="s">
        <v>6347</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7062</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95</v>
      </c>
      <c r="F1611" s="435" t="s">
        <v>4077</v>
      </c>
      <c r="G1611" s="2295">
        <f>'Part VI-Revenues &amp; Expenses'!$P$100</f>
        <v>95</v>
      </c>
      <c r="H1611" s="1818"/>
      <c r="I1611" s="435" t="s">
        <v>856</v>
      </c>
      <c r="J1611" s="1818"/>
      <c r="K1611" s="1818"/>
      <c r="L1611" s="2273">
        <f>'Part VI-Revenues &amp; Expenses'!$P$111</f>
        <v>0</v>
      </c>
      <c r="M1611" s="435" t="s">
        <v>2629</v>
      </c>
      <c r="N1611" s="2261">
        <f>IF(E1611=0,"",(G1611+L1611)/E1611)</f>
        <v>1</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6348</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6349</v>
      </c>
      <c r="D1613" s="435"/>
      <c r="E1613" s="435"/>
      <c r="F1613" s="435"/>
      <c r="G1613" s="435"/>
      <c r="H1613" s="435"/>
      <c r="I1613" s="435"/>
      <c r="J1613" s="435"/>
      <c r="M1613" s="2296">
        <f>'Part VIII-Threshold Criteria'!M373</f>
        <v>0</v>
      </c>
      <c r="N1613" s="2296"/>
    </row>
    <row r="1614" spans="1:44" s="1852" customFormat="1" ht="10.5" customHeight="1">
      <c r="B1614" s="2170" t="s">
        <v>3371</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f>'Part VIII-Threshold Criteria'!A375</f>
        <v>0</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3526</v>
      </c>
      <c r="B1619" s="1818" t="s">
        <v>3504</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3505</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3506</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3497</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3498</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3499</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3500</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3501</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7134</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3502</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3503</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3371</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f>'Part VIII-Threshold Criteria'!A391</f>
        <v>0</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3527</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3330</v>
      </c>
      <c r="G1639" s="2121"/>
      <c r="H1639" s="2121"/>
      <c r="I1639" s="2121"/>
      <c r="J1639" s="2121" t="s">
        <v>3331</v>
      </c>
      <c r="L1639" s="2121"/>
      <c r="M1639" s="2297">
        <f>'Part III-Sources of Funds'!H1196</f>
        <v>0</v>
      </c>
      <c r="N1639" s="2297"/>
      <c r="O1639" s="2224" t="s">
        <v>719</v>
      </c>
      <c r="P1639" s="2230">
        <f>'Part VIII-Threshold Criteria'!P399</f>
        <v>0</v>
      </c>
      <c r="Q1639" s="2164"/>
    </row>
    <row r="1640" spans="1:31" s="1852" customFormat="1" ht="11.25" customHeight="1">
      <c r="B1640" s="2170" t="s">
        <v>3371</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f>'Part VIII-Threshold Criteria'!A401</f>
        <v>0</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3528</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t="str">
        <f>'Part VIII-Threshold Criteria'!P406</f>
        <v>No</v>
      </c>
      <c r="Q1646" s="2164"/>
    </row>
    <row r="1647" spans="1:31" s="1852" customFormat="1" ht="12" customHeight="1">
      <c r="A1647" s="2255" t="s">
        <v>1895</v>
      </c>
      <c r="B1647" s="435" t="s">
        <v>3263</v>
      </c>
      <c r="D1647" s="2223"/>
      <c r="E1647" s="2223"/>
      <c r="O1647" s="2255" t="s">
        <v>1895</v>
      </c>
      <c r="P1647" s="2230" t="str">
        <f>'Part VIII-Threshold Criteria'!P407</f>
        <v>No</v>
      </c>
      <c r="Q1647" s="2164"/>
    </row>
    <row r="1648" spans="1:31" s="1852" customFormat="1" ht="12" customHeight="1">
      <c r="A1648" s="2255" t="s">
        <v>719</v>
      </c>
      <c r="B1648" s="435" t="s">
        <v>4233</v>
      </c>
      <c r="D1648" s="2223"/>
      <c r="E1648" s="2223"/>
      <c r="O1648" s="2255" t="s">
        <v>719</v>
      </c>
      <c r="P1648" s="2230" t="str">
        <f>'Part VIII-Threshold Criteria'!P408</f>
        <v>No</v>
      </c>
      <c r="Q1648" s="2164"/>
    </row>
    <row r="1649" spans="1:31" s="1852" customFormat="1" ht="12" customHeight="1">
      <c r="A1649" s="2255" t="s">
        <v>2021</v>
      </c>
      <c r="B1649" s="435" t="s">
        <v>3264</v>
      </c>
      <c r="E1649" s="2223"/>
      <c r="O1649" s="2255" t="s">
        <v>2021</v>
      </c>
      <c r="P1649" s="2230" t="str">
        <f>'Part VIII-Threshold Criteria'!P409</f>
        <v>No</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t="str">
        <f>'Part VIII-Threshold Criteria'!P410</f>
        <v>No</v>
      </c>
      <c r="Q1650" s="2164"/>
    </row>
    <row r="1651" spans="1:31" s="1852" customFormat="1" ht="11.25" customHeight="1">
      <c r="B1651" s="2170" t="s">
        <v>3371</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Not Applicable.  We have provided evidence of property tax exemption in TAB 02</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3529</v>
      </c>
      <c r="B1656" s="1818" t="s">
        <v>4135</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6545</v>
      </c>
      <c r="O1657" s="2255"/>
      <c r="P1657" s="2230" t="str">
        <f>'Part VIII-Threshold Criteria'!P417</f>
        <v>No</v>
      </c>
      <c r="Q1657" s="2164"/>
    </row>
    <row r="1658" spans="1:31" s="1852" customFormat="1" ht="12" customHeight="1">
      <c r="A1658" s="2255" t="s">
        <v>1893</v>
      </c>
      <c r="B1658" s="435" t="s">
        <v>4134</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t="str">
        <f>'Part VIII-Threshold Criteria'!P419</f>
        <v>Yes</v>
      </c>
      <c r="Q1659" s="2164"/>
    </row>
    <row r="1660" spans="1:31" s="1852" customFormat="1" ht="12" customHeight="1">
      <c r="B1660" s="435"/>
      <c r="C1660" s="435" t="s">
        <v>4234</v>
      </c>
      <c r="D1660" s="2112" t="s">
        <v>4235</v>
      </c>
      <c r="E1660" s="1818"/>
      <c r="F1660" s="1818"/>
      <c r="G1660" s="1818"/>
      <c r="H1660" s="1818"/>
      <c r="I1660" s="1818"/>
      <c r="J1660" s="1818"/>
      <c r="K1660" s="1818"/>
      <c r="L1660" s="1818"/>
      <c r="M1660" s="1818"/>
      <c r="N1660" s="1818"/>
      <c r="O1660" s="2255" t="s">
        <v>4234</v>
      </c>
      <c r="P1660" s="2226" t="str">
        <f>'Part VIII-Threshold Criteria'!P420</f>
        <v>No</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t="str">
        <f>'Part VIII-Threshold Criteria'!P422</f>
        <v>No</v>
      </c>
      <c r="Q1662" s="2164"/>
    </row>
    <row r="1663" spans="1:31" s="1852" customFormat="1" ht="12" customHeight="1">
      <c r="A1663" s="2255"/>
      <c r="C1663" s="435" t="s">
        <v>4138</v>
      </c>
      <c r="D1663" s="435" t="s">
        <v>3260</v>
      </c>
      <c r="E1663" s="435"/>
      <c r="F1663" s="435"/>
      <c r="G1663" s="435"/>
      <c r="H1663" s="435"/>
      <c r="I1663" s="435"/>
      <c r="J1663" s="435"/>
      <c r="K1663" s="435"/>
      <c r="L1663" s="435"/>
      <c r="M1663" s="435"/>
      <c r="N1663" s="1818"/>
      <c r="O1663" s="2255" t="s">
        <v>2326</v>
      </c>
      <c r="P1663" s="2230" t="str">
        <f>'Part VIII-Threshold Criteria'!P423</f>
        <v>Yes</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t="str">
        <f>'Part VIII-Threshold Criteria'!P424</f>
        <v>Yes</v>
      </c>
      <c r="Q1664" s="2164"/>
    </row>
    <row r="1665" spans="1:44" s="1852" customFormat="1" ht="12" customHeight="1">
      <c r="A1665" s="2255"/>
      <c r="B1665" s="2298" t="s">
        <v>2416</v>
      </c>
      <c r="C1665" s="2223" t="s">
        <v>6400</v>
      </c>
      <c r="D1665" s="2223"/>
      <c r="E1665" s="2223"/>
      <c r="F1665" s="2223"/>
      <c r="G1665" s="435" t="s">
        <v>4139</v>
      </c>
      <c r="J1665" s="2137">
        <f>'Part VIII-Threshold Criteria'!J425</f>
        <v>0</v>
      </c>
      <c r="K1665" s="2117"/>
      <c r="M1665" s="435" t="s">
        <v>6492</v>
      </c>
      <c r="P1665" s="2137">
        <f>'Part VIII-Threshold Criteria'!P425</f>
        <v>0</v>
      </c>
      <c r="Q1665" s="2117"/>
    </row>
    <row r="1666" spans="1:44" s="1852" customFormat="1" ht="12" customHeight="1">
      <c r="A1666" s="2255"/>
      <c r="C1666" s="2223"/>
      <c r="D1666" s="2223"/>
      <c r="E1666" s="2223"/>
      <c r="F1666" s="2223"/>
      <c r="G1666" s="435" t="s">
        <v>6491</v>
      </c>
      <c r="J1666" s="2137">
        <f>'Part VIII-Threshold Criteria'!J426</f>
        <v>4</v>
      </c>
      <c r="K1666" s="2117"/>
      <c r="M1666" s="435" t="s">
        <v>6493</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6434</v>
      </c>
      <c r="J1668" s="2112" t="s">
        <v>6435</v>
      </c>
      <c r="K1668" s="2112" t="s">
        <v>6437</v>
      </c>
      <c r="L1668" s="2112"/>
      <c r="M1668" s="2112"/>
      <c r="N1668" s="2112" t="s">
        <v>6436</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6598</v>
      </c>
      <c r="D1670" s="2223"/>
      <c r="E1670" s="2223"/>
      <c r="F1670" s="2223"/>
      <c r="G1670" s="2223"/>
      <c r="H1670" s="2223"/>
      <c r="I1670" s="2010">
        <f>$K$323</f>
        <v>0</v>
      </c>
      <c r="J1670" s="2288">
        <f>'Part VIII-Threshold Criteria'!J430</f>
        <v>2</v>
      </c>
      <c r="K1670" s="2299">
        <f>'Part VIII-Threshold Criteria'!K430</f>
        <v>5</v>
      </c>
      <c r="L1670" s="2299"/>
      <c r="M1670" s="2299"/>
      <c r="N1670" s="2199">
        <f>MAX(J1670,K1670)</f>
        <v>5</v>
      </c>
      <c r="O1670" s="2255" t="s">
        <v>2328</v>
      </c>
      <c r="P1670" s="2230" t="str">
        <f>'Part VIII-Threshold Criteria'!P430</f>
        <v>Yes</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6438</v>
      </c>
      <c r="E1673" s="2223"/>
      <c r="F1673" s="2223"/>
      <c r="G1673" s="2223"/>
      <c r="H1673" s="2223"/>
      <c r="I1673" s="2010" t="str">
        <f>$K$324</f>
        <v>(Enter 10-Digit phone nbrs w/out using hyphens, parentheses, etc - ex: 1234567890)</v>
      </c>
      <c r="J1673" s="2288">
        <f>'Part VIII-Threshold Criteria'!J433</f>
        <v>2</v>
      </c>
      <c r="K1673" s="2299">
        <f>'Part VIII-Threshold Criteria'!K433</f>
        <v>2</v>
      </c>
      <c r="L1673" s="2299"/>
      <c r="M1673" s="2299"/>
      <c r="N1673" s="2199">
        <f>MAX(J1673,K1673)</f>
        <v>2</v>
      </c>
      <c r="O1673" s="2255"/>
      <c r="P1673" s="2230" t="str">
        <f>'Part VIII-Threshold Criteria'!P433</f>
        <v>Yes</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6599</v>
      </c>
      <c r="D1676" s="2223"/>
      <c r="E1676" s="2223"/>
      <c r="F1676" s="2223"/>
      <c r="G1676" s="2223"/>
      <c r="H1676" s="2223"/>
      <c r="I1676" s="2010">
        <f>$K$326</f>
        <v>0</v>
      </c>
      <c r="J1676" s="2288">
        <f>'Part VIII-Threshold Criteria'!J436</f>
        <v>0</v>
      </c>
      <c r="K1676" s="2299">
        <f>'Part VIII-Threshold Criteria'!K436</f>
        <v>2</v>
      </c>
      <c r="L1676" s="2299"/>
      <c r="M1676" s="2299"/>
      <c r="N1676" s="2199">
        <f>MAX(J1676,K1676)</f>
        <v>2</v>
      </c>
      <c r="O1676" s="2255" t="s">
        <v>2344</v>
      </c>
      <c r="P1676" s="2230" t="str">
        <f>'Part VIII-Threshold Criteria'!P436</f>
        <v>Yes</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4009</v>
      </c>
      <c r="E1679" s="2121"/>
      <c r="F1679" s="2121"/>
      <c r="G1679" s="2121"/>
      <c r="J1679" s="1818"/>
      <c r="K1679" s="2121"/>
      <c r="L1679" s="2121"/>
      <c r="M1679" s="1818"/>
      <c r="N1679" s="2255"/>
      <c r="P1679" s="2255"/>
      <c r="Q1679" s="2255"/>
    </row>
    <row r="1680" spans="1:44" s="1852" customFormat="1" ht="12" customHeight="1">
      <c r="A1680" s="2255"/>
      <c r="B1680" s="2112"/>
      <c r="C1680" s="2121" t="s">
        <v>6495</v>
      </c>
      <c r="E1680" s="2121"/>
      <c r="F1680" s="2121"/>
      <c r="L1680" s="2121"/>
      <c r="M1680" s="2121"/>
      <c r="O1680" s="2255" t="s">
        <v>2324</v>
      </c>
      <c r="P1680" s="2230" t="str">
        <f>'Part VIII-Threshold Criteria'!P440</f>
        <v>Third-party</v>
      </c>
      <c r="Q1680" s="2164"/>
    </row>
    <row r="1681" spans="1:31" s="1852" customFormat="1" ht="12" customHeight="1">
      <c r="A1681" s="1818"/>
      <c r="D1681" s="2112" t="s">
        <v>6496</v>
      </c>
      <c r="E1681" s="2270" t="s">
        <v>2347</v>
      </c>
      <c r="F1681" s="2112" t="s">
        <v>3425</v>
      </c>
      <c r="G1681" s="2111" t="str">
        <f>'Part VIII-Threshold Criteria'!G441</f>
        <v>Housing to Home</v>
      </c>
      <c r="H1681" s="2111"/>
      <c r="I1681" s="2111"/>
      <c r="J1681" s="2111"/>
      <c r="K1681" s="2111"/>
      <c r="L1681" s="2270"/>
    </row>
    <row r="1682" spans="1:31" s="1852" customFormat="1" ht="12" customHeight="1">
      <c r="D1682" s="2112"/>
      <c r="E1682" s="2270" t="s">
        <v>4136</v>
      </c>
      <c r="F1682" s="2112" t="s">
        <v>4137</v>
      </c>
      <c r="G1682" s="2111" t="str">
        <f>'Part VIII-Threshold Criteria'!G442</f>
        <v>Relocation specialist</v>
      </c>
      <c r="H1682" s="2111"/>
      <c r="I1682" s="2111"/>
      <c r="J1682" s="2112" t="s">
        <v>3964</v>
      </c>
      <c r="M1682" s="2111">
        <f>'Part VIII-Threshold Criteria'!M442</f>
        <v>0</v>
      </c>
      <c r="N1682" s="2111"/>
      <c r="O1682" s="2111"/>
      <c r="P1682" s="2111"/>
      <c r="Q1682" s="2111"/>
    </row>
    <row r="1683" spans="1:31" s="1852" customFormat="1" ht="12" customHeight="1">
      <c r="A1683" s="1818"/>
      <c r="C1683" s="2112" t="s">
        <v>6494</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 xml:space="preserve">HTH’s Executive Team has extensive experience in executing all types of relocation across the country including temporary, occupied/resident in-place, permanent relocation as well as consulting services.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a commitment to high-quality service to our clients and to the residents. We pride ourselves on being on schedule and having excellent communication and follow through on our work. </v>
      </c>
      <c r="C1684" s="1951"/>
      <c r="D1684" s="1951"/>
      <c r="E1684" s="1951"/>
      <c r="F1684" s="1951"/>
      <c r="G1684" s="1951"/>
      <c r="H1684" s="1951"/>
      <c r="I1684" s="1951"/>
      <c r="J1684" s="1951"/>
      <c r="K1684" s="1951"/>
      <c r="L1684" s="1951"/>
      <c r="M1684" s="1951"/>
      <c r="N1684" s="1951"/>
      <c r="O1684" s="1951"/>
      <c r="P1684" s="1951"/>
      <c r="Q1684" s="1951"/>
      <c r="R1684" s="1855" t="s">
        <v>3960</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4236</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4140</v>
      </c>
      <c r="C1687" s="2228"/>
      <c r="D1687" s="2228"/>
      <c r="E1687" s="2228"/>
      <c r="F1687" s="2228"/>
      <c r="G1687" s="2228"/>
      <c r="H1687" s="2228"/>
      <c r="I1687" s="2228"/>
      <c r="J1687" s="2228"/>
      <c r="K1687" s="2228"/>
      <c r="L1687" s="2228"/>
      <c r="M1687" s="2228"/>
      <c r="N1687" s="2228"/>
    </row>
    <row r="1688" spans="1:31" s="1852" customFormat="1" ht="48" customHeight="1">
      <c r="B1688" s="2223" t="s">
        <v>7135</v>
      </c>
      <c r="C1688" s="2223"/>
      <c r="D1688" s="2223"/>
      <c r="E1688" s="2223"/>
      <c r="F1688" s="2223"/>
      <c r="G1688" s="2223"/>
      <c r="H1688" s="2223"/>
      <c r="I1688" s="2223"/>
      <c r="J1688" s="2223"/>
      <c r="K1688" s="2223"/>
      <c r="L1688" s="2223"/>
      <c r="M1688" s="2223"/>
      <c r="N1688" s="2223"/>
      <c r="O1688" s="2224" t="s">
        <v>1895</v>
      </c>
      <c r="P1688" s="2264" t="str">
        <f>'Part VIII-Threshold Criteria'!P448</f>
        <v>Agree</v>
      </c>
      <c r="Q1688" s="2252"/>
    </row>
    <row r="1689" spans="1:31" s="1852" customFormat="1" ht="12" customHeight="1">
      <c r="B1689" s="2170" t="s">
        <v>3371</v>
      </c>
      <c r="D1689" s="2170"/>
      <c r="E1689" s="2170"/>
      <c r="F1689" s="2170"/>
      <c r="G1689" s="2170"/>
      <c r="H1689" s="2121"/>
      <c r="I1689" s="2164"/>
      <c r="J1689" s="2164"/>
      <c r="K1689" s="2164"/>
    </row>
    <row r="1690" spans="1:31" s="1852" customFormat="1" ht="33.6" customHeight="1">
      <c r="A1690" s="2226" t="str">
        <f>'Part VIII-Threshold Criteria'!A450</f>
        <v>The Roswell Housing Authority (RHA) converted the public housing project – Pelfrey Pines, to RAD in 2015.  During the RAD conversion, RHA did not complete a substantial renovation of the housing and recently has been large capital needs and are in need of a transformative project.  Pennrose, LLC is partnering with RHA to complete a transformative project to reposition their affordable housing existing 95 RAD units so that they will continue to provide quality affordable housing for years to come in the City of Roswell. As part of this redevelopment project, our Team will utilize a Transfer of Assistance process in the RAD program to transfer the existing RAD/PBRA assistance from the existing Pelfrey Pines 95-units to the newly developed 95 LIHTC units as proposed in this Application.  The site will be located on approximately 3.0 acres of the existing Pelfrey Pines footprint.  The project has an existing HAP Contract that will be transferred to the newly developed Project – Roswell Redevelopment Phase I.   If the project is successful in securing 9% LIHTCs in the 2021 Round, the project team estimates to complete construction with the first two buildings and moving residents into the new project during 4th Quarter 2023.  As described in our Relocation Plan, we will minimize the temporary off-site relocation for households in the existing units.  tenants will be displaced and no tenants will require temporary relocation.  All DCA required Relocation Plan and items are attached in TAB 25.</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3530</v>
      </c>
      <c r="B1694" s="1818" t="s">
        <v>2619</v>
      </c>
      <c r="C1694" s="1818"/>
      <c r="D1694" s="435"/>
      <c r="E1694" s="2228"/>
      <c r="F1694" s="2228"/>
      <c r="G1694" s="2228"/>
      <c r="H1694" s="2228"/>
      <c r="O1694" s="2224" t="s">
        <v>1781</v>
      </c>
      <c r="P1694" s="1719"/>
      <c r="Q1694" s="1719"/>
    </row>
    <row r="1695" spans="1:31" s="1852" customFormat="1" ht="14.1" customHeight="1">
      <c r="B1695" s="435" t="s">
        <v>4080</v>
      </c>
      <c r="C1695" s="1818"/>
      <c r="D1695" s="435"/>
      <c r="E1695" s="2228"/>
      <c r="F1695" s="2228"/>
      <c r="G1695" s="2228"/>
      <c r="H1695" s="2228"/>
    </row>
    <row r="1696" spans="1:31" s="2158" customFormat="1" ht="21.75" customHeight="1">
      <c r="A1696" s="2224" t="s">
        <v>1893</v>
      </c>
      <c r="B1696" s="2223" t="s">
        <v>3454</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3453</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4046</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4047</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4048</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4049</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3455</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4107</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4108</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4151</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3371</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This project will comply with all Affirmative Furthering Fair Housing Laws.</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3965</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3371</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owners will ensure the complete, effective, efficient, and lawful utilization of the low income housing tax credits if awarded by DCA.</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2021-018 Roswell Redevelopment Phase I,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7136</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64</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6315</v>
      </c>
      <c r="B1727" s="2304"/>
      <c r="C1727" s="2304"/>
      <c r="D1727" s="435" t="s">
        <v>6316</v>
      </c>
      <c r="E1727" s="435"/>
      <c r="F1727" s="435"/>
      <c r="G1727" s="435"/>
      <c r="H1727" s="435"/>
      <c r="I1727" s="435"/>
      <c r="J1727" s="435"/>
      <c r="K1727" s="435"/>
      <c r="L1727" s="435"/>
      <c r="M1727" s="435"/>
      <c r="O1727" s="2122">
        <f>'Part IX Scoring Criteria'!O8</f>
        <v>0</v>
      </c>
      <c r="P1727" s="2110"/>
      <c r="Q1727" s="435" t="s">
        <v>7137</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7063</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6367</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6368</v>
      </c>
      <c r="D1733" s="435"/>
      <c r="E1733" s="435"/>
      <c r="F1733" s="435"/>
      <c r="G1733" s="2156"/>
      <c r="H1733" s="1864" t="s">
        <v>7138</v>
      </c>
      <c r="I1733" s="2156"/>
      <c r="J1733" s="2156"/>
      <c r="K1733" s="2156"/>
      <c r="L1733" s="2156"/>
      <c r="M1733" s="2305" t="s">
        <v>7139</v>
      </c>
      <c r="N1733" s="2156"/>
      <c r="O1733" s="2122">
        <f>'Part IX Scoring Criteria'!O14</f>
        <v>0</v>
      </c>
      <c r="P1733" s="2108">
        <f>IF(P1735&lt;2,0,IF(AND(P1735&gt;1,P1735&lt;5),1,IF(P1735&gt;4,P1735-3)))</f>
        <v>0</v>
      </c>
      <c r="Q1733" s="435" t="s">
        <v>7137</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3543</v>
      </c>
      <c r="B1735" s="1967" t="s">
        <v>3544</v>
      </c>
      <c r="C1735" s="435"/>
      <c r="D1735" s="435"/>
      <c r="E1735" s="1967" t="s">
        <v>3551</v>
      </c>
      <c r="F1735" s="1967" t="s">
        <v>6823</v>
      </c>
      <c r="G1735" s="1967"/>
      <c r="H1735" s="1967"/>
      <c r="I1735" s="1967"/>
      <c r="J1735" s="1967"/>
      <c r="K1735" s="1967"/>
      <c r="L1735" s="1967"/>
      <c r="M1735" s="1967"/>
      <c r="N1735" s="1967"/>
      <c r="O1735" s="2305" t="s">
        <v>3972</v>
      </c>
      <c r="P1735" s="2164">
        <f>SUM(P1736:P1748)</f>
        <v>0</v>
      </c>
      <c r="Q1735" s="435" t="s">
        <v>7140</v>
      </c>
      <c r="R1735" s="435"/>
      <c r="S1735" s="435"/>
      <c r="T1735" s="435"/>
      <c r="U1735" s="435"/>
      <c r="V1735" s="435"/>
    </row>
    <row r="1736" spans="1:22" s="1818" customFormat="1" ht="10.5" customHeight="1">
      <c r="A1736" s="2307" t="s">
        <v>1713</v>
      </c>
      <c r="B1736" s="1905" t="s">
        <v>3545</v>
      </c>
      <c r="C1736" s="1905"/>
      <c r="D1736" s="1905"/>
      <c r="E1736" s="2308">
        <f>'Part IX Scoring Criteria'!E17</f>
        <v>20</v>
      </c>
      <c r="F1736" s="2229" t="str">
        <f>'Part IX Scoring Criteria'!F17</f>
        <v>This project will have RAD subsidy and are allowed to go up to 80% AMI.  As demonstrated in our Market Study, our project has acheivable rents at/above 80% AMI.  The RAD subsidy allows for deeper targeting at 30% AMI, thus allowing for an Income Averaging percentage well below 58%.  This site location is eligible to receive 20 points in this category as it qualifies for points in Categories: C. Supermarket/Grocery Store, D. Restaurants, F. Medical Care Provider, G. Pharmacy, H. Licensed Childcare service, J. Elementary, Middle or High School, L. Community or Recreational Center, M. Public Park/Public Community Garden Greater than 25,000 sqft, N. Public Park/Public Community Garden less than 25,000 sqft, O. Public Library, P. Fire Station or Police Station, Q. Federally Insured Banking Institutions, R. Place of Worship for a total of 23.50 points.
Additionally, the project site is not located in a food desert as evidenced by USDA Food Access Research Atlas showing LI and LA at 1 and 20 miles. There are no undesirables in the area.</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4240</v>
      </c>
      <c r="C1737" s="1905"/>
      <c r="D1737" s="1905"/>
      <c r="E1737" s="2308">
        <f>'Part IX Scoring Criteria'!E18</f>
        <v>2</v>
      </c>
      <c r="F1737" s="2229" t="str">
        <f>'Part IX Scoring Criteria'!F18</f>
        <v>The bus stop is located within a 0.5 miles from the primary pedestrian entrace per the latest mapping software.</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3484</v>
      </c>
      <c r="C1738" s="1905"/>
      <c r="D1738" s="1905"/>
      <c r="E1738" s="2308">
        <f>'Part IX Scoring Criteria'!E19</f>
        <v>3</v>
      </c>
      <c r="F1738" s="2229" t="str">
        <f>'Part IX Scoring Criteria'!F19</f>
        <v xml:space="preserve">Per the CCRPI scoring website, both Roswell High School and Crabapple Middle School meet the DCA threshold and Vickery Mill received a 2018 Beating the Odds designation. </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3546</v>
      </c>
      <c r="C1739" s="1905"/>
      <c r="D1739" s="1905"/>
      <c r="E1739" s="2308">
        <f>'Part IX Scoring Criteria'!E20</f>
        <v>0</v>
      </c>
      <c r="F1739" s="2229">
        <f>'Part IX Scoring Criteria'!F20</f>
        <v>0</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3547</v>
      </c>
      <c r="C1740" s="1905"/>
      <c r="D1740" s="1905"/>
      <c r="E1740" s="2308" t="str">
        <f>'Part IX Scoring Criteria'!E21</f>
        <v>n/a</v>
      </c>
      <c r="F1740" s="2229">
        <f>'Part IX Scoring Criteria'!F21</f>
        <v>0</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4241</v>
      </c>
      <c r="C1741" s="1905"/>
      <c r="D1741" s="1905"/>
      <c r="E1741" s="2308">
        <f>'Part IX Scoring Criteria'!E22</f>
        <v>8</v>
      </c>
      <c r="F1741" s="2229" t="str">
        <f>'Part IX Scoring Criteria'!F22</f>
        <v xml:space="preserve">This project qualifies for eight points under the 2021 QAP Stable Communities scoring section. While the census tract the site is located with in does not score under the current guidelines, the site is located with .25 miles of a census tract that would meet the highest points total resulting in four points for part A of this section. Further, the census in which the site is located has metrics above the 60th percentile for Employment Rates, and Life expectancy. The project also is above the 80th percentile for median income resulting in 4 additional points for a total of 8 points for this scoring section.  </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4243</v>
      </c>
      <c r="B1742" s="1905" t="s">
        <v>3395</v>
      </c>
      <c r="C1742" s="1905"/>
      <c r="D1742" s="1905"/>
      <c r="E1742" s="2308">
        <f>'Part IX Scoring Criteria'!E23</f>
        <v>0</v>
      </c>
      <c r="F1742" s="2229" t="str">
        <f>'Part IX Scoring Criteria'!F23</f>
        <v xml:space="preserve">This project will have RAD subsidy and are allowed to go up to 80% AMI.  As demonstrated in our Market Study, our project has acheivable rents at/above 80% AMI.  The RAD subsidy allows for deeper targeting at 30% AMI, thus allowing for an Income Averaging percentage well below 58%. </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4255</v>
      </c>
      <c r="B1743" s="1905" t="s">
        <v>4244</v>
      </c>
      <c r="C1743" s="1905"/>
      <c r="D1743" s="1905"/>
      <c r="E1743" s="2308">
        <f>'Part IX Scoring Criteria'!E24</f>
        <v>0</v>
      </c>
      <c r="F1743" s="2229">
        <f>'Part IX Scoring Criteria'!F24</f>
        <v>0</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6530</v>
      </c>
      <c r="B1744" s="1905" t="s">
        <v>4245</v>
      </c>
      <c r="C1744" s="1905"/>
      <c r="D1744" s="1905"/>
      <c r="E1744" s="2308">
        <f>'Part IX Scoring Criteria'!E25</f>
        <v>4</v>
      </c>
      <c r="F1744" s="2229" t="str">
        <f>'Part IX Scoring Criteria'!F25</f>
        <v>Per the DCA mapping tool there is only project within the city of Roswell's boundaries. The lone project, according to DCA's mapping tool, what awarded in 2014 resulting in the project qualifying for 4 points under the "15 Years Lookback Period" section</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3520</v>
      </c>
      <c r="B1745" s="1905" t="s">
        <v>3548</v>
      </c>
      <c r="C1745" s="1905"/>
      <c r="D1745" s="1905"/>
      <c r="E1745" s="2308">
        <f>'Part IX Scoring Criteria'!E26</f>
        <v>0</v>
      </c>
      <c r="F1745" s="2229">
        <f>'Part IX Scoring Criteria'!F26</f>
        <v>0</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3518</v>
      </c>
      <c r="B1746" s="1905" t="s">
        <v>3549</v>
      </c>
      <c r="C1746" s="1905"/>
      <c r="D1746" s="1905"/>
      <c r="E1746" s="2308">
        <f>'Part IX Scoring Criteria'!E27</f>
        <v>0</v>
      </c>
      <c r="F1746" s="2229">
        <f>'Part IX Scoring Criteria'!F27</f>
        <v>0</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3518</v>
      </c>
      <c r="B1747" s="1905" t="s">
        <v>3550</v>
      </c>
      <c r="C1747" s="1905"/>
      <c r="D1747" s="1905"/>
      <c r="E1747" s="2308">
        <f>'Part IX Scoring Criteria'!E28</f>
        <v>0</v>
      </c>
      <c r="F1747" s="2229">
        <f>'Part IX Scoring Criteria'!F28</f>
        <v>0</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3525</v>
      </c>
      <c r="B1748" s="1905" t="s">
        <v>6361</v>
      </c>
      <c r="C1748" s="1905"/>
      <c r="D1748" s="1905"/>
      <c r="E1748" s="2308">
        <f>'Part IX Scoring Criteria'!E29</f>
        <v>0</v>
      </c>
      <c r="F1748" s="2229">
        <f>'Part IX Scoring Criteria'!F29</f>
        <v>0</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6369</v>
      </c>
      <c r="C1750" s="2284"/>
      <c r="D1750" s="2114"/>
      <c r="E1750" s="2114"/>
      <c r="F1750" s="2114"/>
      <c r="G1750" s="2159" t="s">
        <v>6353</v>
      </c>
      <c r="H1750" s="2159"/>
      <c r="I1750" s="2159" t="s">
        <v>932</v>
      </c>
      <c r="J1750" s="2159"/>
      <c r="K1750" s="2310" t="s">
        <v>6354</v>
      </c>
      <c r="L1750" s="1973"/>
      <c r="M1750" s="1967" t="s">
        <v>6370</v>
      </c>
      <c r="N1750" s="1967"/>
      <c r="O1750" s="1967"/>
      <c r="P1750" s="1967"/>
      <c r="Q1750" s="1967"/>
      <c r="R1750" s="2311"/>
      <c r="S1750" s="2312" t="s">
        <v>6369</v>
      </c>
      <c r="T1750" s="2311"/>
      <c r="U1750" s="2311"/>
      <c r="V1750" s="2311"/>
      <c r="W1750" s="1754"/>
      <c r="X1750" s="4749" t="s">
        <v>6353</v>
      </c>
      <c r="Y1750" s="4750"/>
      <c r="Z1750" s="4749" t="s">
        <v>932</v>
      </c>
      <c r="AA1750" s="4750"/>
      <c r="AB1750" s="2313" t="s">
        <v>6354</v>
      </c>
      <c r="AC1750" s="4749" t="s">
        <v>6353</v>
      </c>
      <c r="AD1750" s="4750"/>
      <c r="AE1750" s="4749" t="s">
        <v>932</v>
      </c>
      <c r="AF1750" s="4750"/>
      <c r="AG1750" s="2313" t="s">
        <v>6354</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6355</v>
      </c>
      <c r="C1752" s="1967"/>
      <c r="D1752" s="2112"/>
      <c r="E1752" s="2112"/>
      <c r="F1752" s="2112"/>
      <c r="G1752" s="2145">
        <v>10</v>
      </c>
      <c r="H1752" s="2145"/>
      <c r="I1752" s="2145">
        <v>10</v>
      </c>
      <c r="J1752" s="2145"/>
      <c r="K1752" s="2145">
        <v>10</v>
      </c>
      <c r="L1752" s="1973"/>
      <c r="M1752" s="1967" t="s">
        <v>6371</v>
      </c>
      <c r="N1752" s="1973"/>
      <c r="O1752" s="1973"/>
      <c r="P1752" s="2317" t="str">
        <f>'Part IX Scoring Criteria'!P33</f>
        <v>9%</v>
      </c>
      <c r="Q1752" s="1973"/>
      <c r="R1752" s="2318" t="s">
        <v>712</v>
      </c>
      <c r="S1752" s="2319" t="s">
        <v>6355</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6356</v>
      </c>
      <c r="C1753" s="1967"/>
      <c r="D1753" s="2112"/>
      <c r="E1753" s="2112"/>
      <c r="F1753" s="2112"/>
      <c r="G1753" s="2145">
        <v>3</v>
      </c>
      <c r="H1753" s="2145">
        <v>3</v>
      </c>
      <c r="I1753" s="2145">
        <v>3</v>
      </c>
      <c r="J1753" s="2145">
        <v>3</v>
      </c>
      <c r="K1753" s="2145"/>
      <c r="L1753" s="1973"/>
      <c r="M1753" s="1967" t="s">
        <v>6375</v>
      </c>
      <c r="N1753" s="1967"/>
      <c r="O1753" s="1967"/>
      <c r="P1753" s="1967"/>
      <c r="Q1753" s="1973"/>
      <c r="R1753" s="2318" t="s">
        <v>1711</v>
      </c>
      <c r="S1753" s="2328" t="s">
        <v>6356</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3545</v>
      </c>
      <c r="C1754" s="1967"/>
      <c r="D1754" s="2112"/>
      <c r="E1754" s="2112"/>
      <c r="F1754" s="2112"/>
      <c r="G1754" s="2145">
        <v>20</v>
      </c>
      <c r="H1754" s="2145">
        <v>12</v>
      </c>
      <c r="I1754" s="2145"/>
      <c r="J1754" s="2145"/>
      <c r="K1754" s="2145"/>
      <c r="L1754" s="1973"/>
      <c r="M1754" s="1967" t="s">
        <v>6379</v>
      </c>
      <c r="N1754" s="1973"/>
      <c r="O1754" s="1973"/>
      <c r="P1754" s="2044" t="str">
        <f>'Part IX Scoring Criteria'!P35</f>
        <v>No</v>
      </c>
      <c r="Q1754" s="1973"/>
      <c r="R1754" s="2318" t="s">
        <v>1713</v>
      </c>
      <c r="S1754" s="2328" t="s">
        <v>3545</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4240</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4240</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3484</v>
      </c>
      <c r="C1756" s="1967"/>
      <c r="D1756" s="2112"/>
      <c r="E1756" s="2112"/>
      <c r="F1756" s="2112"/>
      <c r="G1756" s="2145">
        <v>3</v>
      </c>
      <c r="H1756" s="2145">
        <v>2</v>
      </c>
      <c r="I1756" s="2145"/>
      <c r="J1756" s="2145"/>
      <c r="K1756" s="2145"/>
      <c r="L1756" s="1973"/>
      <c r="M1756" s="1967" t="s">
        <v>6380</v>
      </c>
      <c r="N1756" s="1973"/>
      <c r="O1756" s="1973"/>
      <c r="P1756" s="2044" t="str">
        <f>'Part IX Scoring Criteria'!P37</f>
        <v>No</v>
      </c>
      <c r="Q1756" s="1973"/>
      <c r="R1756" s="2318" t="s">
        <v>742</v>
      </c>
      <c r="S1756" s="2328" t="s">
        <v>3484</v>
      </c>
      <c r="T1756" s="2329"/>
      <c r="U1756" s="2330"/>
      <c r="V1756" s="2330"/>
      <c r="W1756" s="2330"/>
      <c r="X1756" s="2338">
        <f>O1866</f>
        <v>3</v>
      </c>
      <c r="Y1756" s="2339">
        <f>O1866</f>
        <v>3</v>
      </c>
      <c r="Z1756" s="2338"/>
      <c r="AA1756" s="2339"/>
      <c r="AB1756" s="2333"/>
      <c r="AC1756" s="2341">
        <f>P1866</f>
        <v>0</v>
      </c>
      <c r="AD1756" s="2339">
        <f>P1866</f>
        <v>0</v>
      </c>
      <c r="AE1756" s="2338"/>
      <c r="AF1756" s="2339"/>
      <c r="AG1756" s="2335"/>
    </row>
    <row r="1757" spans="1:33" s="1852" customFormat="1" ht="10.5" customHeight="1">
      <c r="A1757" s="2029" t="s">
        <v>281</v>
      </c>
      <c r="B1757" s="2084" t="s">
        <v>3546</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3546</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3547</v>
      </c>
      <c r="C1758" s="1967"/>
      <c r="D1758" s="2112"/>
      <c r="E1758" s="2112"/>
      <c r="F1758" s="2112"/>
      <c r="G1758" s="2145">
        <v>3</v>
      </c>
      <c r="H1758" s="2145"/>
      <c r="I1758" s="2145"/>
      <c r="J1758" s="2145"/>
      <c r="K1758" s="2145"/>
      <c r="L1758" s="1973"/>
      <c r="M1758" s="1967" t="s">
        <v>6535</v>
      </c>
      <c r="P1758" s="2164" t="str">
        <f>'Part III-Sources of Funds'!$L$14</f>
        <v>Yes</v>
      </c>
      <c r="Q1758" s="1973"/>
      <c r="R1758" s="2318" t="s">
        <v>407</v>
      </c>
      <c r="S1758" s="2328" t="s">
        <v>3547</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4241</v>
      </c>
      <c r="C1759" s="1967"/>
      <c r="D1759" s="2112"/>
      <c r="E1759" s="2112"/>
      <c r="F1759" s="2112"/>
      <c r="G1759" s="2145">
        <v>10</v>
      </c>
      <c r="H1759" s="2145">
        <v>5</v>
      </c>
      <c r="I1759" s="2145"/>
      <c r="J1759" s="2145"/>
      <c r="K1759" s="2145"/>
      <c r="L1759" s="1973"/>
      <c r="M1759" s="1864" t="s">
        <v>6536</v>
      </c>
      <c r="N1759" s="1864"/>
      <c r="O1759" s="2114"/>
      <c r="P1759" s="2044" t="str">
        <f>'Part IX Scoring Criteria'!P40</f>
        <v>No</v>
      </c>
      <c r="Q1759" s="1973"/>
      <c r="R1759" s="2318" t="s">
        <v>346</v>
      </c>
      <c r="S1759" s="2328" t="s">
        <v>4241</v>
      </c>
      <c r="T1759" s="2329"/>
      <c r="U1759" s="2330"/>
      <c r="V1759" s="2330"/>
      <c r="W1759" s="2330"/>
      <c r="X1759" s="2331">
        <f>O1918</f>
        <v>8</v>
      </c>
      <c r="Y1759" s="2332">
        <f>O1918</f>
        <v>8</v>
      </c>
      <c r="Z1759" s="2338"/>
      <c r="AA1759" s="2339"/>
      <c r="AB1759" s="2333"/>
      <c r="AC1759" s="2334">
        <f>P1918</f>
        <v>0</v>
      </c>
      <c r="AD1759" s="2332">
        <f>P1918</f>
        <v>0</v>
      </c>
      <c r="AE1759" s="2338"/>
      <c r="AF1759" s="2339"/>
      <c r="AG1759" s="2335"/>
    </row>
    <row r="1760" spans="1:33" s="1852" customFormat="1" ht="10.5" customHeight="1">
      <c r="A1760" s="2029" t="s">
        <v>347</v>
      </c>
      <c r="B1760" s="2084" t="s">
        <v>6357</v>
      </c>
      <c r="C1760" s="1967"/>
      <c r="D1760" s="2112"/>
      <c r="E1760" s="2112"/>
      <c r="F1760" s="2112"/>
      <c r="G1760" s="2145">
        <v>1</v>
      </c>
      <c r="H1760" s="2145"/>
      <c r="I1760" s="2145"/>
      <c r="J1760" s="2145"/>
      <c r="K1760" s="2145"/>
      <c r="L1760" s="1973"/>
      <c r="Q1760" s="1973"/>
      <c r="R1760" s="2318" t="s">
        <v>347</v>
      </c>
      <c r="S1760" s="2328" t="s">
        <v>6357</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3395</v>
      </c>
      <c r="C1761" s="1967"/>
      <c r="D1761" s="2112"/>
      <c r="E1761" s="2112"/>
      <c r="F1761" s="2112"/>
      <c r="G1761" s="2145">
        <v>10</v>
      </c>
      <c r="H1761" s="2145">
        <v>5</v>
      </c>
      <c r="I1761" s="2145"/>
      <c r="J1761" s="2145"/>
      <c r="K1761" s="2145"/>
      <c r="L1761" s="1973"/>
      <c r="P1761" s="2029" t="s">
        <v>6543</v>
      </c>
      <c r="Q1761" s="1973"/>
      <c r="R1761" s="2318" t="s">
        <v>348</v>
      </c>
      <c r="S1761" s="2328" t="s">
        <v>3395</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6358</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6358</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3519</v>
      </c>
      <c r="B1763" s="2084" t="s">
        <v>4245</v>
      </c>
      <c r="C1763" s="1967"/>
      <c r="D1763" s="2112"/>
      <c r="E1763" s="2112"/>
      <c r="F1763" s="2112"/>
      <c r="G1763" s="2145">
        <v>5</v>
      </c>
      <c r="H1763" s="2145"/>
      <c r="I1763" s="2145"/>
      <c r="J1763" s="2145"/>
      <c r="K1763" s="2145"/>
      <c r="L1763" s="1973"/>
      <c r="P1763" s="2029" t="s">
        <v>3379</v>
      </c>
      <c r="Q1763" s="1973"/>
      <c r="R1763" s="2318" t="s">
        <v>3519</v>
      </c>
      <c r="S1763" s="2328" t="s">
        <v>4245</v>
      </c>
      <c r="T1763" s="2329"/>
      <c r="U1763" s="2330"/>
      <c r="V1763" s="2330"/>
      <c r="W1763" s="2330"/>
      <c r="X1763" s="2331">
        <f>O1966</f>
        <v>4</v>
      </c>
      <c r="Y1763" s="2339"/>
      <c r="Z1763" s="2338"/>
      <c r="AA1763" s="2339"/>
      <c r="AB1763" s="2333"/>
      <c r="AC1763" s="2334">
        <f>P1966</f>
        <v>0</v>
      </c>
      <c r="AD1763" s="2339"/>
      <c r="AE1763" s="2338"/>
      <c r="AF1763" s="2339"/>
      <c r="AG1763" s="2335"/>
    </row>
    <row r="1764" spans="1:33" s="1852" customFormat="1" ht="10.5" customHeight="1">
      <c r="A1764" s="2029" t="s">
        <v>2149</v>
      </c>
      <c r="B1764" s="2084" t="s">
        <v>3966</v>
      </c>
      <c r="C1764" s="1967"/>
      <c r="D1764" s="2112"/>
      <c r="E1764" s="2112"/>
      <c r="F1764" s="2112"/>
      <c r="G1764" s="2145">
        <v>4</v>
      </c>
      <c r="H1764" s="2145">
        <v>4</v>
      </c>
      <c r="I1764" s="2145">
        <v>4</v>
      </c>
      <c r="J1764" s="2145">
        <v>4</v>
      </c>
      <c r="K1764" s="2145">
        <v>4</v>
      </c>
      <c r="L1764" s="2342"/>
      <c r="M1764" s="1967" t="s">
        <v>7141</v>
      </c>
      <c r="N1764" s="1973"/>
      <c r="P1764" s="2343">
        <f>'Part IX Scoring Criteria'!P45</f>
        <v>95</v>
      </c>
      <c r="R1764" s="2318" t="s">
        <v>2149</v>
      </c>
      <c r="S1764" s="2328" t="s">
        <v>3966</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3519</v>
      </c>
      <c r="B1765" s="2084" t="s">
        <v>6359</v>
      </c>
      <c r="C1765" s="1967"/>
      <c r="D1765" s="2112"/>
      <c r="E1765" s="2112"/>
      <c r="F1765" s="2112"/>
      <c r="G1765" s="2145">
        <v>2</v>
      </c>
      <c r="H1765" s="2145"/>
      <c r="I1765" s="2145">
        <v>2</v>
      </c>
      <c r="J1765" s="2145"/>
      <c r="K1765" s="2145"/>
      <c r="L1765" s="1973"/>
      <c r="M1765" s="1967" t="s">
        <v>6573</v>
      </c>
      <c r="N1765" s="1875"/>
      <c r="O1765" s="1875"/>
      <c r="P1765" s="2343">
        <f>'Part IX Scoring Criteria'!P46</f>
        <v>0</v>
      </c>
      <c r="Q1765" s="1973"/>
      <c r="R1765" s="2318" t="s">
        <v>3519</v>
      </c>
      <c r="S1765" s="2328" t="s">
        <v>6359</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3520</v>
      </c>
      <c r="B1766" s="2084" t="s">
        <v>3548</v>
      </c>
      <c r="C1766" s="1967"/>
      <c r="D1766" s="2112"/>
      <c r="E1766" s="2112"/>
      <c r="F1766" s="2112"/>
      <c r="G1766" s="2145">
        <v>2</v>
      </c>
      <c r="H1766" s="2145"/>
      <c r="I1766" s="2145">
        <v>2</v>
      </c>
      <c r="J1766" s="2145"/>
      <c r="K1766" s="2145">
        <v>2</v>
      </c>
      <c r="L1766" s="1973"/>
      <c r="M1766" s="2127" t="s">
        <v>7064</v>
      </c>
      <c r="N1766" s="2127"/>
      <c r="O1766" s="2127"/>
      <c r="P1766" s="2127"/>
      <c r="Q1766" s="458"/>
      <c r="R1766" s="2318" t="s">
        <v>3520</v>
      </c>
      <c r="S1766" s="2328" t="s">
        <v>3548</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3518</v>
      </c>
      <c r="B1767" s="2084" t="s">
        <v>3549</v>
      </c>
      <c r="C1767" s="1967"/>
      <c r="D1767" s="2112"/>
      <c r="E1767" s="2112"/>
      <c r="F1767" s="2112"/>
      <c r="G1767" s="2145">
        <v>4</v>
      </c>
      <c r="H1767" s="2145">
        <v>4</v>
      </c>
      <c r="I1767" s="2145">
        <v>4</v>
      </c>
      <c r="J1767" s="2145">
        <v>4</v>
      </c>
      <c r="K1767" s="2145">
        <v>4</v>
      </c>
      <c r="L1767" s="1973"/>
      <c r="M1767" s="2127"/>
      <c r="N1767" s="2127"/>
      <c r="O1767" s="2127"/>
      <c r="P1767" s="2127"/>
      <c r="R1767" s="2318" t="s">
        <v>3518</v>
      </c>
      <c r="S1767" s="2328" t="s">
        <v>3549</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3521</v>
      </c>
      <c r="B1768" s="2084" t="s">
        <v>3550</v>
      </c>
      <c r="C1768" s="1967"/>
      <c r="D1768" s="2112"/>
      <c r="E1768" s="2112"/>
      <c r="F1768" s="2112"/>
      <c r="G1768" s="2145">
        <v>2</v>
      </c>
      <c r="H1768" s="2145"/>
      <c r="I1768" s="2145"/>
      <c r="J1768" s="2145"/>
      <c r="K1768" s="2145"/>
      <c r="L1768" s="1973"/>
      <c r="M1768" s="2127"/>
      <c r="N1768" s="2127"/>
      <c r="O1768" s="2127"/>
      <c r="P1768" s="2127"/>
      <c r="R1768" s="2318" t="s">
        <v>3521</v>
      </c>
      <c r="S1768" s="2328" t="s">
        <v>3550</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3522</v>
      </c>
      <c r="B1769" s="2084" t="s">
        <v>6360</v>
      </c>
      <c r="C1769" s="1967"/>
      <c r="D1769" s="2112"/>
      <c r="E1769" s="2112"/>
      <c r="F1769" s="2112"/>
      <c r="G1769" s="2145">
        <v>10</v>
      </c>
      <c r="H1769" s="2145">
        <v>10</v>
      </c>
      <c r="I1769" s="2145">
        <v>10</v>
      </c>
      <c r="J1769" s="2145">
        <v>10</v>
      </c>
      <c r="K1769" s="2145">
        <v>10</v>
      </c>
      <c r="L1769" s="1973"/>
      <c r="M1769" s="2127"/>
      <c r="N1769" s="2127"/>
      <c r="O1769" s="2127"/>
      <c r="P1769" s="2127"/>
      <c r="R1769" s="2318" t="s">
        <v>3522</v>
      </c>
      <c r="S1769" s="2328" t="s">
        <v>6360</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3525</v>
      </c>
      <c r="B1770" s="2084" t="s">
        <v>6361</v>
      </c>
      <c r="C1770" s="1967"/>
      <c r="D1770" s="2112"/>
      <c r="E1770" s="2112"/>
      <c r="F1770" s="2112"/>
      <c r="G1770" s="2145">
        <v>2</v>
      </c>
      <c r="H1770" s="2145"/>
      <c r="I1770" s="2145">
        <v>2</v>
      </c>
      <c r="J1770" s="2145"/>
      <c r="K1770" s="2145"/>
      <c r="L1770" s="1973"/>
      <c r="M1770" s="2127"/>
      <c r="N1770" s="2127"/>
      <c r="O1770" s="2127"/>
      <c r="P1770" s="2127"/>
      <c r="R1770" s="2318" t="s">
        <v>3525</v>
      </c>
      <c r="S1770" s="2328" t="s">
        <v>6361</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3526</v>
      </c>
      <c r="B1771" s="2084" t="s">
        <v>6362</v>
      </c>
      <c r="C1771" s="1967"/>
      <c r="D1771" s="2112"/>
      <c r="E1771" s="2112"/>
      <c r="F1771" s="2112"/>
      <c r="G1771" s="2145"/>
      <c r="H1771" s="2145"/>
      <c r="I1771" s="2145">
        <v>6</v>
      </c>
      <c r="J1771" s="2145">
        <v>6</v>
      </c>
      <c r="K1771" s="2145">
        <v>6</v>
      </c>
      <c r="L1771" s="1973"/>
      <c r="M1771" s="2127"/>
      <c r="N1771" s="2127"/>
      <c r="O1771" s="2127"/>
      <c r="P1771" s="2127"/>
      <c r="R1771" s="2318" t="s">
        <v>3526</v>
      </c>
      <c r="S1771" s="2328" t="s">
        <v>6362</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3527</v>
      </c>
      <c r="B1772" s="2084" t="s">
        <v>6363</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3527</v>
      </c>
      <c r="S1772" s="2328" t="s">
        <v>6363</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3528</v>
      </c>
      <c r="B1773" s="2084" t="s">
        <v>6364</v>
      </c>
      <c r="C1773" s="1967"/>
      <c r="D1773" s="2112"/>
      <c r="E1773" s="2112"/>
      <c r="F1773" s="2112"/>
      <c r="G1773" s="2145"/>
      <c r="H1773" s="2145"/>
      <c r="I1773" s="2145"/>
      <c r="J1773" s="2145">
        <v>4</v>
      </c>
      <c r="K1773" s="2145"/>
      <c r="L1773" s="1973"/>
      <c r="Q1773" s="1973"/>
      <c r="R1773" s="2318" t="s">
        <v>3528</v>
      </c>
      <c r="S1773" s="2328" t="s">
        <v>6364</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3529</v>
      </c>
      <c r="B1774" s="2084" t="s">
        <v>6365</v>
      </c>
      <c r="C1774" s="1967"/>
      <c r="D1774" s="2112"/>
      <c r="E1774" s="2112"/>
      <c r="F1774" s="2112"/>
      <c r="G1774" s="2145"/>
      <c r="H1774" s="2145"/>
      <c r="I1774" s="2145">
        <v>2</v>
      </c>
      <c r="J1774" s="2145"/>
      <c r="K1774" s="2145">
        <v>2</v>
      </c>
      <c r="L1774" s="1973"/>
      <c r="M1774" s="1967" t="s">
        <v>6372</v>
      </c>
      <c r="N1774" s="1967"/>
      <c r="O1774" s="1967"/>
      <c r="P1774" s="1967"/>
      <c r="Q1774" s="1973"/>
      <c r="R1774" s="2318" t="s">
        <v>3529</v>
      </c>
      <c r="S1774" s="2328" t="s">
        <v>6365</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3530</v>
      </c>
      <c r="B1775" s="2084" t="s">
        <v>6366</v>
      </c>
      <c r="C1775" s="1967"/>
      <c r="D1775" s="2112"/>
      <c r="E1775" s="2112"/>
      <c r="F1775" s="2112"/>
      <c r="G1775" s="2145"/>
      <c r="H1775" s="2145">
        <v>16</v>
      </c>
      <c r="I1775" s="2145"/>
      <c r="J1775" s="2145">
        <v>16</v>
      </c>
      <c r="K1775" s="2145"/>
      <c r="L1775" s="1973"/>
      <c r="M1775" s="1864" t="str">
        <f>'Part I-Project Information'!$H$105</f>
        <v>Atlanta Metro</v>
      </c>
      <c r="N1775" s="1864"/>
      <c r="O1775" s="1864"/>
      <c r="P1775" s="1864"/>
      <c r="Q1775" s="1973"/>
      <c r="R1775" s="2318" t="s">
        <v>3530</v>
      </c>
      <c r="S1775" s="2346" t="s">
        <v>6366</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6531</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64</v>
      </c>
      <c r="Y1777" s="2356">
        <f t="shared" ref="Y1777:AB1777" si="384">SUM(Y1752:Y1775)</f>
        <v>49</v>
      </c>
      <c r="Z1777" s="2356">
        <f t="shared" si="384"/>
        <v>26</v>
      </c>
      <c r="AA1777" s="2356">
        <f t="shared" si="384"/>
        <v>16</v>
      </c>
      <c r="AB1777" s="2356">
        <f t="shared" si="384"/>
        <v>24</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7142</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3967</v>
      </c>
      <c r="D1780" s="1719"/>
      <c r="E1780" s="1719"/>
      <c r="F1780" s="2164"/>
      <c r="N1780" s="2255" t="s">
        <v>1893</v>
      </c>
      <c r="P1780" s="2172">
        <f>SUM(P1781:P1783)</f>
        <v>0</v>
      </c>
      <c r="Q1780" s="435" t="s">
        <v>7143</v>
      </c>
    </row>
    <row r="1781" spans="1:33" s="2274" customFormat="1" ht="12.75" customHeight="1">
      <c r="A1781" s="2141"/>
      <c r="B1781" s="2358" t="s">
        <v>1896</v>
      </c>
      <c r="C1781" s="1719" t="s">
        <v>3970</v>
      </c>
      <c r="D1781" s="1719"/>
      <c r="E1781" s="1719"/>
      <c r="F1781" s="2164"/>
      <c r="H1781" s="1864" t="s">
        <v>3297</v>
      </c>
      <c r="J1781" s="2156"/>
      <c r="N1781" s="2359" t="s">
        <v>1896</v>
      </c>
      <c r="P1781" s="2172">
        <f>F1789</f>
        <v>0</v>
      </c>
    </row>
    <row r="1782" spans="1:33" s="2274" customFormat="1" ht="12.75" customHeight="1">
      <c r="A1782" s="2141"/>
      <c r="B1782" s="2358" t="s">
        <v>1898</v>
      </c>
      <c r="C1782" s="1719" t="s">
        <v>7144</v>
      </c>
      <c r="D1782" s="1719"/>
      <c r="E1782" s="1719"/>
      <c r="F1782" s="2164"/>
      <c r="H1782" s="1864" t="s">
        <v>3968</v>
      </c>
      <c r="J1782" s="2156"/>
      <c r="N1782" s="2359" t="s">
        <v>1898</v>
      </c>
      <c r="P1782" s="2172">
        <f>J1789</f>
        <v>0</v>
      </c>
    </row>
    <row r="1783" spans="1:33" s="2274" customFormat="1" ht="12.75" customHeight="1">
      <c r="A1783" s="2141"/>
      <c r="B1783" s="2358" t="s">
        <v>2416</v>
      </c>
      <c r="C1783" s="1719" t="s">
        <v>3969</v>
      </c>
      <c r="D1783" s="1719"/>
      <c r="E1783" s="1719"/>
      <c r="F1783" s="2164"/>
      <c r="H1783" s="1864" t="s">
        <v>3973</v>
      </c>
      <c r="J1783" s="2156"/>
      <c r="N1783" s="2359" t="s">
        <v>2416</v>
      </c>
      <c r="P1783" s="2122"/>
    </row>
    <row r="1784" spans="1:33" s="2274" customFormat="1" ht="12.75" customHeight="1">
      <c r="C1784" s="1905" t="s">
        <v>7065</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7145</v>
      </c>
      <c r="J1786" s="2156"/>
      <c r="M1786" s="2108"/>
      <c r="N1786" s="2255" t="s">
        <v>1895</v>
      </c>
      <c r="P1786" s="2172">
        <f>O1789</f>
        <v>0</v>
      </c>
      <c r="Q1786" s="435" t="s">
        <v>7143</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7066</v>
      </c>
      <c r="B1788" s="1875"/>
      <c r="C1788" s="1875"/>
      <c r="D1788" s="1875"/>
      <c r="E1788" s="1875"/>
      <c r="F1788" s="2044" t="s">
        <v>3542</v>
      </c>
      <c r="G1788" s="435" t="s">
        <v>7067</v>
      </c>
      <c r="H1788" s="435"/>
      <c r="I1788" s="435"/>
      <c r="J1788" s="2044" t="s">
        <v>3542</v>
      </c>
      <c r="K1788" s="2112" t="s">
        <v>7068</v>
      </c>
      <c r="L1788" s="2112"/>
      <c r="M1788" s="2112"/>
      <c r="N1788" s="2112"/>
      <c r="O1788" s="1864" t="s">
        <v>3542</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7146</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3265</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3266</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3267</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3268</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3269</v>
      </c>
      <c r="E1803" s="435"/>
      <c r="G1803" s="435"/>
      <c r="I1803" s="1864" t="s">
        <v>6541</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3980</v>
      </c>
      <c r="G1804" s="2112"/>
      <c r="H1804" s="435"/>
      <c r="I1804" s="2156"/>
      <c r="K1804" s="2029"/>
      <c r="L1804" s="2365"/>
      <c r="M1804" s="2108"/>
      <c r="N1804" s="2108"/>
      <c r="O1804" s="2192"/>
      <c r="P1804" s="2192"/>
      <c r="Q1804" s="2108"/>
      <c r="R1804" s="2366"/>
    </row>
    <row r="1805" spans="1:20" s="2274" customFormat="1" ht="13.5" customHeight="1">
      <c r="A1805" s="2141" t="s">
        <v>1893</v>
      </c>
      <c r="B1805" s="2115" t="s">
        <v>7147</v>
      </c>
      <c r="E1805" s="435"/>
      <c r="G1805" s="2112"/>
      <c r="H1805" s="2112" t="s">
        <v>4064</v>
      </c>
      <c r="I1805" s="2367" t="str">
        <f>'Part I-Project Information'!$K$94</f>
        <v>Income Averaging</v>
      </c>
      <c r="M1805" s="2108"/>
      <c r="N1805" s="2108"/>
      <c r="Q1805" s="2108"/>
      <c r="R1805" s="2366"/>
    </row>
    <row r="1806" spans="1:20" s="2284" customFormat="1" ht="9" customHeight="1">
      <c r="A1806" s="2141"/>
      <c r="B1806" s="1719" t="s">
        <v>3974</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3975</v>
      </c>
      <c r="D1808" s="435"/>
      <c r="H1808" s="435" t="s">
        <v>3976</v>
      </c>
      <c r="I1808" s="1864"/>
      <c r="J1808" s="2370">
        <f>'Part VI-Revenues &amp; Expenses'!B1721</f>
        <v>0</v>
      </c>
      <c r="L1808" s="1875" t="str">
        <f>IF(AND(O1808&gt;0,O1809&gt;0), "CHOOSE EITHER A OR B, NOT BOTH!", "")</f>
        <v/>
      </c>
      <c r="M1808" s="2117">
        <v>2</v>
      </c>
      <c r="N1808" s="2360" t="s">
        <v>1896</v>
      </c>
      <c r="O1808" s="2371">
        <f>'Part IX Scoring Criteria'!O89</f>
        <v>2</v>
      </c>
      <c r="P1808" s="2192"/>
      <c r="Q1808" s="2282" t="str">
        <f>IF(OR($O1808=$M1808,$O1808=0,$O1808=""),"","*CHECK!*")</f>
        <v/>
      </c>
      <c r="R1808" s="1858" t="s">
        <v>4263</v>
      </c>
    </row>
    <row r="1809" spans="1:18" s="2284" customFormat="1" ht="13.5" customHeight="1">
      <c r="A1809" s="2255" t="s">
        <v>3104</v>
      </c>
      <c r="B1809" s="2368" t="s">
        <v>1898</v>
      </c>
      <c r="C1809" s="2369" t="s">
        <v>3977</v>
      </c>
      <c r="D1809" s="435"/>
      <c r="I1809" s="1864"/>
      <c r="K1809" s="435"/>
      <c r="L1809" s="1875"/>
      <c r="M1809" s="2117">
        <v>2</v>
      </c>
      <c r="N1809" s="2360" t="s">
        <v>1898</v>
      </c>
      <c r="O1809" s="2371">
        <f>'Part IX Scoring Criteria'!O90</f>
        <v>0</v>
      </c>
      <c r="P1809" s="2192"/>
      <c r="Q1809" s="2282" t="str">
        <f>IF(OR($O1809=$M1809,$O1809=0,$O1809=""),"","*CHECK!*")</f>
        <v/>
      </c>
      <c r="R1809" s="1858" t="s">
        <v>4263</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7148</v>
      </c>
      <c r="E1811" s="2112"/>
      <c r="H1811" s="1864" t="s">
        <v>3978</v>
      </c>
      <c r="I1811" s="1864"/>
      <c r="J1811" s="2372" t="s">
        <v>3979</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3299</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3467</v>
      </c>
      <c r="E1813" s="2378"/>
      <c r="F1813" s="2290"/>
      <c r="I1813" s="2302"/>
      <c r="J1813" s="2302"/>
      <c r="K1813" s="2302"/>
      <c r="L1813" s="2302"/>
      <c r="M1813" s="2302"/>
      <c r="N1813" s="2359" t="s">
        <v>1898</v>
      </c>
      <c r="O1813" s="2230">
        <f>'Part IX Scoring Criteria'!O94</f>
        <v>0</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3517</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3384</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3421</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7149</v>
      </c>
      <c r="J1820" s="1864"/>
      <c r="K1820" s="1864"/>
      <c r="L1820" s="1864"/>
      <c r="M1820" s="2108">
        <v>20</v>
      </c>
      <c r="N1820" s="2360" t="s">
        <v>1893</v>
      </c>
      <c r="O1820" s="2380">
        <f>'Part IX Scoring Criteria'!O101</f>
        <v>20</v>
      </c>
      <c r="P1820" s="2303"/>
      <c r="Q1820" s="2282"/>
      <c r="R1820" s="1858" t="s">
        <v>4263</v>
      </c>
    </row>
    <row r="1821" spans="1:18" s="2284" customFormat="1" ht="12.75" customHeight="1">
      <c r="A1821" s="2141" t="s">
        <v>1895</v>
      </c>
      <c r="B1821" s="1719" t="s">
        <v>3415</v>
      </c>
      <c r="D1821" s="2381"/>
      <c r="F1821" s="2003"/>
      <c r="H1821" s="2009" t="s">
        <v>3483</v>
      </c>
      <c r="I1821" s="1864"/>
      <c r="J1821" s="1864"/>
      <c r="K1821" s="1864"/>
      <c r="L1821" s="1864"/>
      <c r="M1821" s="2164" t="s">
        <v>1192</v>
      </c>
      <c r="N1821" s="2255" t="s">
        <v>1895</v>
      </c>
      <c r="O1821" s="2380">
        <f>'Part IX Scoring Criteria'!O102</f>
        <v>0</v>
      </c>
      <c r="P1821" s="2303"/>
      <c r="R1821" s="1858" t="s">
        <v>4263</v>
      </c>
    </row>
    <row r="1822" spans="1:18" s="2274" customFormat="1" ht="12.75" customHeight="1">
      <c r="A1822" s="1818"/>
      <c r="B1822" s="2156" t="s">
        <v>3372</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This project will have RAD subsidy and are allowed to go up to 80% AMI.  As demonstrated in our Market Study, our project has acheivable rents at/above 80% AMI.  The RAD subsidy allows for deeper targeting at 30% AMI, thus allowing for an Income Averaging percentage well below 58%.  This site location is eligible to receive 20 points in this category as it qualifies for points in Categories: C. Supermarket/Grocery Store, D. Restaurants, F. Medical Care Provider, G. Pharmacy, H. Licensed Childcare service, J. Elementary, Middle or High School, L. Community or Recreational Center, M. Public Park/Public Community Garden Greater than 25,000 sqft, N. Public Park/Public Community Garden less than 25,000 sqft, O. Public Library, P. Fire Station or Police Station, Q. Federally Insured Banking Institutions, R. Place of Worship for a total of 23.50 points.
Additionally, the project site is not located in a food desert as evidenced by USDA Food Access Research Atlas showing LI and LA at 1 and 20 miles. There are no undesirables in the area.</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6381</v>
      </c>
      <c r="I1827" s="1912" t="s">
        <v>6372</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7150</v>
      </c>
      <c r="S1827" s="2244"/>
      <c r="T1827" s="2244"/>
      <c r="U1827" s="2244"/>
    </row>
    <row r="1828" spans="1:21" s="2274" customFormat="1" ht="17.25" customHeight="1">
      <c r="A1828" s="2306"/>
      <c r="B1828" s="1719" t="s">
        <v>3468</v>
      </c>
      <c r="D1828" s="2379"/>
      <c r="H1828" s="1719"/>
      <c r="M1828" s="2108"/>
      <c r="N1828" s="2255"/>
      <c r="O1828" s="2383" t="s">
        <v>3270</v>
      </c>
      <c r="P1828" s="2383" t="s">
        <v>3271</v>
      </c>
      <c r="Q1828" s="2108"/>
      <c r="R1828" s="2244"/>
      <c r="S1828" s="2244"/>
      <c r="T1828" s="2244"/>
      <c r="U1828" s="2244"/>
    </row>
    <row r="1829" spans="1:21" s="2274" customFormat="1" ht="11.25" customHeight="1">
      <c r="A1829" s="2306"/>
      <c r="B1829" s="2384" t="s">
        <v>1896</v>
      </c>
      <c r="C1829" s="435" t="s">
        <v>3983</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3984</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6385</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7151</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6546</v>
      </c>
      <c r="D1833" s="2381"/>
      <c r="E1833" s="2284"/>
      <c r="F1833" s="2284"/>
      <c r="G1833" s="2284"/>
      <c r="H1833" s="2156"/>
      <c r="I1833" s="2156"/>
      <c r="J1833" s="1719"/>
      <c r="K1833" s="1719"/>
      <c r="L1833" s="2284"/>
      <c r="M1833" s="2284"/>
      <c r="N1833" s="2255"/>
      <c r="O1833" s="2230" t="str">
        <f>'Part IX Scoring Criteria'!O114</f>
        <v>Yes</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3472</v>
      </c>
      <c r="D1835" s="2379"/>
      <c r="F1835" s="1719" t="s">
        <v>3346</v>
      </c>
      <c r="G1835" s="1719"/>
      <c r="H1835" s="1719"/>
      <c r="I1835" s="1719"/>
      <c r="J1835" s="1719" t="s">
        <v>3347</v>
      </c>
      <c r="K1835" s="1719"/>
      <c r="L1835" s="1719"/>
      <c r="M1835" s="1719"/>
      <c r="N1835" s="2255"/>
      <c r="O1835" s="2385" t="s">
        <v>7152</v>
      </c>
      <c r="P1835" s="2385"/>
      <c r="Q1835" s="2108"/>
      <c r="R1835" s="2244"/>
      <c r="S1835" s="2244"/>
      <c r="T1835" s="2244"/>
      <c r="U1835" s="2244"/>
    </row>
    <row r="1836" spans="1:21" s="2274" customFormat="1" ht="12.75" customHeight="1">
      <c r="A1836" s="2306"/>
      <c r="C1836" s="1719" t="s">
        <v>3471</v>
      </c>
      <c r="D1836" s="1989"/>
      <c r="E1836" s="1875"/>
      <c r="F1836" s="1872" t="str">
        <f>'Part IX Scoring Criteria'!F117</f>
        <v>34.01954</v>
      </c>
      <c r="G1836" s="1872"/>
      <c r="H1836" s="2386"/>
      <c r="I1836" s="2386"/>
      <c r="J1836" s="1872">
        <f>'Part IX Scoring Criteria'!J117</f>
        <v>-84.357290000000006</v>
      </c>
      <c r="K1836" s="1872"/>
      <c r="L1836" s="2386"/>
      <c r="M1836" s="2386"/>
      <c r="N1836" s="2255"/>
      <c r="Q1836" s="2108"/>
      <c r="R1836" s="2244"/>
      <c r="S1836" s="2244"/>
      <c r="T1836" s="2244"/>
      <c r="U1836" s="2244"/>
    </row>
    <row r="1837" spans="1:21" s="2274" customFormat="1" ht="12.75" customHeight="1">
      <c r="A1837" s="2387" t="s">
        <v>3541</v>
      </c>
      <c r="B1837" s="2387"/>
      <c r="E1837" s="2255" t="s">
        <v>6387</v>
      </c>
      <c r="F1837" s="1872">
        <f>'Part IX Scoring Criteria'!F118</f>
        <v>34.020060000000001</v>
      </c>
      <c r="G1837" s="1872"/>
      <c r="H1837" s="2386"/>
      <c r="I1837" s="2386"/>
      <c r="J1837" s="1872">
        <f>'Part IX Scoring Criteria'!J118</f>
        <v>-84.361689999999996</v>
      </c>
      <c r="K1837" s="1872"/>
      <c r="L1837" s="2386"/>
      <c r="M1837" s="2386"/>
      <c r="N1837" s="2255"/>
      <c r="O1837" s="2388">
        <f>'Part IX Scoring Criteria'!O118</f>
        <v>0.27</v>
      </c>
      <c r="P1837" s="2389"/>
      <c r="Q1837" s="2108"/>
      <c r="R1837" s="2244"/>
      <c r="S1837" s="2244"/>
      <c r="T1837" s="2244"/>
      <c r="U1837" s="2244"/>
    </row>
    <row r="1838" spans="1:21" s="2274" customFormat="1" ht="12.75" customHeight="1">
      <c r="A1838" s="2387"/>
      <c r="B1838" s="2387"/>
      <c r="C1838" s="1719" t="s">
        <v>3515</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3514</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6382</v>
      </c>
      <c r="B1841" s="2153"/>
      <c r="D1841" s="2379"/>
      <c r="F1841" s="2170" t="s">
        <v>7153</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3368</v>
      </c>
      <c r="D1843" s="2379"/>
      <c r="F1843" s="2156" t="s">
        <v>7154</v>
      </c>
      <c r="M1843" s="2108">
        <v>6</v>
      </c>
      <c r="N1843" s="2359" t="s">
        <v>1893</v>
      </c>
      <c r="O1843" s="2192">
        <f>'Part IX Scoring Criteria'!O124</f>
        <v>0</v>
      </c>
      <c r="P1843" s="2192">
        <f>'Part IX Scoring Criteria'!P124</f>
        <v>0</v>
      </c>
      <c r="Q1843" s="2108"/>
    </row>
    <row r="1844" spans="1:21" s="2274" customFormat="1" ht="12.6" customHeight="1">
      <c r="A1844" s="2257"/>
      <c r="B1844" s="435" t="s">
        <v>6389</v>
      </c>
      <c r="D1844" s="2379"/>
      <c r="F1844" s="2156"/>
      <c r="M1844" s="2108"/>
      <c r="N1844" s="2359"/>
      <c r="O1844" s="2230">
        <f>'Part IX Scoring Criteria'!O125</f>
        <v>0</v>
      </c>
      <c r="P1844" s="2164"/>
      <c r="Q1844" s="2108"/>
    </row>
    <row r="1845" spans="1:21" s="2391" customFormat="1" ht="36.75" customHeight="1">
      <c r="B1845" s="2392" t="s">
        <v>1896</v>
      </c>
      <c r="C1845" s="2223" t="s">
        <v>7155</v>
      </c>
      <c r="D1845" s="2223"/>
      <c r="E1845" s="2223"/>
      <c r="F1845" s="2223"/>
      <c r="G1845" s="2223"/>
      <c r="H1845" s="2223"/>
      <c r="I1845" s="2003" t="s">
        <v>7156</v>
      </c>
      <c r="J1845" s="2003"/>
      <c r="K1845" s="2003"/>
      <c r="L1845" s="2003"/>
      <c r="M1845" s="2309">
        <v>6</v>
      </c>
      <c r="N1845" s="2392" t="s">
        <v>1896</v>
      </c>
      <c r="O1845" s="2393">
        <f>'Part IX Scoring Criteria'!O126</f>
        <v>0</v>
      </c>
      <c r="P1845" s="2394"/>
      <c r="Q1845" s="2282"/>
      <c r="R1845" s="1858" t="s">
        <v>4263</v>
      </c>
    </row>
    <row r="1846" spans="1:21" s="2391" customFormat="1" ht="12" customHeight="1">
      <c r="A1846" s="2164" t="s">
        <v>1304</v>
      </c>
      <c r="B1846" s="2392" t="s">
        <v>1898</v>
      </c>
      <c r="C1846" s="2223" t="s">
        <v>6384</v>
      </c>
      <c r="D1846" s="2223"/>
      <c r="E1846" s="2223"/>
      <c r="F1846" s="2223"/>
      <c r="G1846" s="2223"/>
      <c r="I1846" s="2003"/>
      <c r="J1846" s="2003"/>
      <c r="K1846" s="2003"/>
      <c r="L1846" s="2003"/>
      <c r="M1846" s="2108">
        <v>5</v>
      </c>
      <c r="N1846" s="2384" t="s">
        <v>1898</v>
      </c>
      <c r="O1846" s="2380">
        <f>'Part IX Scoring Criteria'!O127</f>
        <v>0</v>
      </c>
      <c r="P1846" s="2303"/>
      <c r="Q1846" s="2282"/>
      <c r="R1846" s="1858" t="s">
        <v>4263</v>
      </c>
    </row>
    <row r="1847" spans="1:21" s="2391" customFormat="1" ht="12" customHeight="1">
      <c r="B1847" s="2392"/>
      <c r="C1847" s="2223"/>
      <c r="D1847" s="2223"/>
      <c r="E1847" s="2223"/>
      <c r="F1847" s="2223"/>
      <c r="G1847" s="1864" t="s">
        <v>6388</v>
      </c>
      <c r="H1847" s="1864"/>
      <c r="I1847" s="2003"/>
      <c r="J1847" s="2003"/>
      <c r="K1847" s="2003"/>
      <c r="L1847" s="2003"/>
      <c r="M1847" s="435" t="str">
        <f>IF(AND(O1846&gt;0,O1845&gt;0),"Pick A1 or A2!","")</f>
        <v/>
      </c>
      <c r="N1847" s="435"/>
      <c r="O1847" s="435"/>
      <c r="P1847" s="435"/>
      <c r="Q1847" s="2282"/>
      <c r="R1847" s="2044" t="s">
        <v>6565</v>
      </c>
      <c r="S1847" s="2044" t="s">
        <v>6383</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3369</v>
      </c>
      <c r="C1850" s="1843"/>
      <c r="D1850" s="1843"/>
      <c r="F1850" s="2227" t="s">
        <v>7157</v>
      </c>
      <c r="I1850" s="1951" t="str">
        <f>'Part IX Scoring Criteria'!I131</f>
        <v>MARTA (Metropolitan Atlanta Rapid Transit Authority)</v>
      </c>
      <c r="J1850" s="1951"/>
      <c r="K1850" s="1951"/>
      <c r="L1850" s="2398">
        <f>'Part IX Scoring Criteria'!L131</f>
        <v>4048485000</v>
      </c>
      <c r="M1850" s="2108">
        <v>3</v>
      </c>
      <c r="N1850" s="2255" t="s">
        <v>1895</v>
      </c>
      <c r="O1850" s="2192">
        <f>'Part IX Scoring Criteria'!O131</f>
        <v>2</v>
      </c>
      <c r="P1850" s="2192">
        <f>'Part IX Scoring Criteria'!P131</f>
        <v>0</v>
      </c>
      <c r="Q1850" s="2399"/>
      <c r="R1850" s="2164">
        <v>1</v>
      </c>
      <c r="S1850" s="2164">
        <v>4</v>
      </c>
    </row>
    <row r="1851" spans="1:21" s="2274" customFormat="1" ht="11.25" customHeight="1">
      <c r="A1851" s="2306"/>
      <c r="B1851" s="2255" t="s">
        <v>3393</v>
      </c>
      <c r="C1851" s="1864" t="s">
        <v>3982</v>
      </c>
      <c r="D1851" s="2381"/>
      <c r="F1851" s="2284"/>
      <c r="G1851" s="2284"/>
      <c r="H1851" s="2156"/>
      <c r="I1851" s="1951"/>
      <c r="J1851" s="1951"/>
      <c r="K1851" s="1951"/>
      <c r="L1851" s="2398"/>
      <c r="M1851" s="2284"/>
      <c r="N1851" s="2255" t="s">
        <v>3393</v>
      </c>
      <c r="O1851" s="2230" t="str">
        <f>'Part IX Scoring Criteria'!O132</f>
        <v>Yes</v>
      </c>
      <c r="P1851" s="2164"/>
      <c r="Q1851" s="2108"/>
      <c r="R1851" s="1967"/>
      <c r="S1851" s="2391"/>
      <c r="T1851" s="2391"/>
      <c r="U1851" s="2391"/>
    </row>
    <row r="1852" spans="1:21" s="2274" customFormat="1" ht="11.25" customHeight="1">
      <c r="A1852" s="2306"/>
      <c r="B1852" s="2255" t="s">
        <v>3394</v>
      </c>
      <c r="C1852" s="1864" t="s">
        <v>3981</v>
      </c>
      <c r="D1852" s="2381"/>
      <c r="F1852" s="2284"/>
      <c r="G1852" s="2284"/>
      <c r="H1852" s="2156"/>
      <c r="I1852" s="1951" t="str">
        <f>'Part IX Scoring Criteria'!I133</f>
        <v>custserv@itsmarta.com</v>
      </c>
      <c r="J1852" s="1951"/>
      <c r="K1852" s="1951"/>
      <c r="L1852" s="1951"/>
      <c r="M1852" s="2284"/>
      <c r="N1852" s="2255" t="s">
        <v>3394</v>
      </c>
      <c r="O1852" s="2230" t="str">
        <f>'Part IX Scoring Criteria'!O133</f>
        <v>Yes</v>
      </c>
      <c r="P1852" s="2164"/>
      <c r="Q1852" s="2108"/>
      <c r="R1852" s="1967"/>
      <c r="S1852" s="2391"/>
      <c r="T1852" s="2391"/>
      <c r="U1852" s="2391"/>
    </row>
    <row r="1853" spans="1:21" s="2391" customFormat="1" ht="12" customHeight="1">
      <c r="A1853" s="2141"/>
      <c r="B1853" s="2400" t="s">
        <v>1896</v>
      </c>
      <c r="C1853" s="435" t="s">
        <v>7158</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4263</v>
      </c>
    </row>
    <row r="1854" spans="1:21" s="2274" customFormat="1" ht="12" customHeight="1">
      <c r="A1854" s="2164" t="s">
        <v>1304</v>
      </c>
      <c r="B1854" s="2400" t="s">
        <v>1898</v>
      </c>
      <c r="C1854" s="435" t="s">
        <v>7159</v>
      </c>
      <c r="D1854" s="435"/>
      <c r="E1854" s="435"/>
      <c r="F1854" s="435"/>
      <c r="G1854" s="435"/>
      <c r="H1854" s="435"/>
      <c r="I1854" s="1951" t="str">
        <f>'Part IX Scoring Criteria'!I135</f>
        <v>https://www.itsmarta.com/85.aspx</v>
      </c>
      <c r="J1854" s="1951"/>
      <c r="K1854" s="1951"/>
      <c r="L1854" s="1951"/>
      <c r="M1854" s="2108">
        <v>2</v>
      </c>
      <c r="N1854" s="2384" t="s">
        <v>1898</v>
      </c>
      <c r="O1854" s="2371">
        <f>'Part IX Scoring Criteria'!O135</f>
        <v>2</v>
      </c>
      <c r="P1854" s="2192"/>
      <c r="Q1854" s="2397" t="str">
        <f>IF(OR($O1854=$M1854,$O1854=0,$O1854=""),"","*CHECK!*")</f>
        <v/>
      </c>
      <c r="R1854" s="1858" t="s">
        <v>4263</v>
      </c>
    </row>
    <row r="1855" spans="1:21" s="2274" customFormat="1" ht="21.75" customHeight="1">
      <c r="A1855" s="2252" t="s">
        <v>1304</v>
      </c>
      <c r="B1855" s="2401" t="s">
        <v>2416</v>
      </c>
      <c r="C1855" s="2223" t="s">
        <v>7160</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4263</v>
      </c>
    </row>
    <row r="1856" spans="1:21" s="2274" customFormat="1" ht="12.6" customHeight="1">
      <c r="A1856" s="2390" t="s">
        <v>2608</v>
      </c>
      <c r="B1856" s="1719"/>
      <c r="E1856" s="2379"/>
      <c r="I1856" s="1951" t="str">
        <f>'Part IX Scoring Criteria'!I137</f>
        <v>https://www.itsmarta.com/pdfs/maps/85.pdf</v>
      </c>
      <c r="J1856" s="1951"/>
      <c r="K1856" s="1951"/>
      <c r="L1856" s="1951"/>
      <c r="M1856" s="2108"/>
      <c r="N1856" s="2108"/>
      <c r="O1856" s="2108"/>
      <c r="P1856" s="2108"/>
      <c r="Q1856" s="2366"/>
      <c r="R1856" s="2366"/>
    </row>
    <row r="1857" spans="1:19" s="2284" customFormat="1" ht="12" customHeight="1">
      <c r="A1857" s="2141"/>
      <c r="B1857" s="2392" t="s">
        <v>1178</v>
      </c>
      <c r="C1857" s="1719" t="s">
        <v>7161</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4263</v>
      </c>
    </row>
    <row r="1858" spans="1:19" s="2284" customFormat="1" ht="12" customHeight="1">
      <c r="A1858" s="2141"/>
      <c r="B1858" s="2392"/>
      <c r="C1858" s="1719" t="s">
        <v>7162</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7163</v>
      </c>
      <c r="B1859" s="1719"/>
      <c r="E1859" s="2379"/>
      <c r="K1859" s="1719"/>
      <c r="M1859" s="2108"/>
      <c r="N1859" s="2108"/>
      <c r="O1859" s="2108"/>
      <c r="P1859" s="2108"/>
      <c r="Q1859" s="2366"/>
      <c r="R1859" s="2366"/>
    </row>
    <row r="1860" spans="1:19" s="2274" customFormat="1" ht="11.25" customHeight="1">
      <c r="A1860" s="1818"/>
      <c r="B1860" s="2156" t="s">
        <v>3372</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The bus stop is located within a 0.5 miles from the primary pedestrian entrace per the latest mapping software.</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6393</v>
      </c>
      <c r="C1866" s="2228"/>
      <c r="D1866" s="2228"/>
      <c r="E1866" s="2228"/>
      <c r="G1866" s="2044" t="s">
        <v>3985</v>
      </c>
      <c r="H1866" s="1912" t="str">
        <f>'Part I-Project Information'!$H$77</f>
        <v>Family</v>
      </c>
      <c r="M1866" s="2108">
        <v>3</v>
      </c>
      <c r="N1866" s="2309"/>
      <c r="O1866" s="2110">
        <f>'Part IX Scoring Criteria'!O147</f>
        <v>3</v>
      </c>
      <c r="P1866" s="2108"/>
      <c r="Q1866" s="2282" t="str">
        <f>IF(OR($O1866&lt;=$M1866,$O1866=0,$O1866=""),"","*CHECK!*")</f>
        <v/>
      </c>
      <c r="R1866" s="2105" t="s">
        <v>422</v>
      </c>
      <c r="S1866" s="1858" t="s">
        <v>4263</v>
      </c>
    </row>
    <row r="1867" spans="1:19" ht="18.75" customHeight="1">
      <c r="C1867" s="1972" t="s">
        <v>7164</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7069</v>
      </c>
      <c r="I1868" s="1950"/>
      <c r="J1868" s="1950"/>
      <c r="K1868" s="2045" t="s">
        <v>7070</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6834</v>
      </c>
      <c r="D1870" s="2293"/>
      <c r="E1870" s="2403"/>
      <c r="F1870" s="1852"/>
      <c r="G1870" s="1852"/>
      <c r="H1870" s="1950"/>
      <c r="I1870" s="1950"/>
      <c r="J1870" s="1950"/>
      <c r="K1870" s="2045"/>
      <c r="L1870" s="2045"/>
      <c r="M1870" s="2403"/>
    </row>
    <row r="1871" spans="1:19">
      <c r="B1871" s="2084"/>
      <c r="C1871" s="2070" t="str">
        <f>'Part IX Scoring Criteria'!C152</f>
        <v>Roswell High School</v>
      </c>
      <c r="D1871" s="2070"/>
      <c r="E1871" s="2070"/>
      <c r="F1871" s="2070"/>
      <c r="G1871" s="2070"/>
      <c r="H1871" s="2111" t="str">
        <f>'Part IX Scoring Criteria'!H152</f>
        <v>Yes</v>
      </c>
      <c r="I1871" s="2111"/>
      <c r="J1871" s="2111"/>
      <c r="K1871" s="2111" t="str">
        <f>'Part IX Scoring Criteria'!K152</f>
        <v>N/a</v>
      </c>
      <c r="L1871" s="2111"/>
      <c r="M1871" s="2145"/>
    </row>
    <row r="1872" spans="1:19">
      <c r="B1872" s="2084"/>
      <c r="C1872" s="2070" t="str">
        <f>'Part IX Scoring Criteria'!C153</f>
        <v>Crabapple Middle School</v>
      </c>
      <c r="D1872" s="2070"/>
      <c r="E1872" s="2070"/>
      <c r="F1872" s="2070"/>
      <c r="G1872" s="2070"/>
      <c r="H1872" s="2111" t="str">
        <f>'Part IX Scoring Criteria'!H153</f>
        <v>Yes</v>
      </c>
      <c r="I1872" s="2111"/>
      <c r="J1872" s="2111"/>
      <c r="K1872" s="2111" t="str">
        <f>'Part IX Scoring Criteria'!K153</f>
        <v>N/a</v>
      </c>
      <c r="L1872" s="2111"/>
      <c r="M1872" s="2145"/>
    </row>
    <row r="1873" spans="1:21" ht="15">
      <c r="B1873" s="2084"/>
      <c r="C1873" s="2070" t="str">
        <f>'Part IX Scoring Criteria'!C154</f>
        <v>Vickey Mill Elementary School</v>
      </c>
      <c r="D1873" s="2070"/>
      <c r="E1873" s="2070"/>
      <c r="F1873" s="2070"/>
      <c r="G1873" s="2070"/>
      <c r="H1873" s="2111" t="str">
        <f>'Part IX Scoring Criteria'!H154</f>
        <v>No</v>
      </c>
      <c r="I1873" s="2111"/>
      <c r="J1873" s="2111"/>
      <c r="K1873" s="2111" t="str">
        <f>'Part IX Scoring Criteria'!K154</f>
        <v>Yes</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3372</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 xml:space="preserve">Per the CCRPI scoring website, both Roswell High School and Crabapple Middle School meet the DCA threshold and Vickery Mill received a 2018 Beating the Odds designation. </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3485</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6427</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7071</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4263</v>
      </c>
      <c r="S1885" s="1855"/>
      <c r="T1885" s="1855"/>
      <c r="U1885" s="1855"/>
    </row>
    <row r="1886" spans="1:21" s="2158" customFormat="1" ht="12" customHeight="1">
      <c r="B1886" s="2224" t="s">
        <v>2324</v>
      </c>
      <c r="C1886" s="2223" t="s">
        <v>7165</v>
      </c>
      <c r="D1886" s="2223"/>
      <c r="E1886" s="2223"/>
      <c r="F1886" s="2223"/>
      <c r="G1886" s="2223"/>
      <c r="H1886" s="2223"/>
      <c r="I1886" s="2223"/>
      <c r="J1886" s="2223"/>
      <c r="K1886" s="2223"/>
      <c r="L1886" s="2224"/>
      <c r="M1886" s="2112" t="s">
        <v>6301</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&lt;Enter page nbr(s) from Plan&gt;</v>
      </c>
      <c r="N1887" s="1942"/>
      <c r="O1887" s="1942"/>
      <c r="P1887" s="1942"/>
      <c r="S1887" s="1855"/>
      <c r="T1887" s="1855"/>
      <c r="U1887" s="1855"/>
    </row>
    <row r="1888" spans="1:21" s="1818" customFormat="1" ht="12.75" customHeight="1">
      <c r="B1888" s="2255" t="s">
        <v>2325</v>
      </c>
      <c r="C1888" s="435" t="s">
        <v>4157</v>
      </c>
      <c r="D1888" s="435"/>
      <c r="E1888" s="435"/>
      <c r="F1888" s="435"/>
      <c r="G1888" s="435"/>
      <c r="H1888" s="435"/>
      <c r="L1888" s="2255" t="s">
        <v>2325</v>
      </c>
      <c r="M1888" s="1942" t="str">
        <f>'Part IX Scoring Criteria'!M169</f>
        <v>&lt;Enter page nbr(s) from Plan&gt;</v>
      </c>
      <c r="N1888" s="1942"/>
      <c r="O1888" s="1942"/>
      <c r="P1888" s="1942"/>
      <c r="S1888" s="1855"/>
      <c r="T1888" s="1855"/>
      <c r="U1888" s="1855"/>
    </row>
    <row r="1889" spans="1:22" s="1818" customFormat="1" ht="12.75" customHeight="1">
      <c r="B1889" s="2255" t="s">
        <v>2326</v>
      </c>
      <c r="C1889" s="435" t="s">
        <v>6425</v>
      </c>
      <c r="D1889" s="435"/>
      <c r="E1889" s="435"/>
      <c r="F1889" s="435"/>
      <c r="G1889" s="435"/>
      <c r="H1889" s="435"/>
      <c r="L1889" s="2255" t="s">
        <v>2326</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6426</v>
      </c>
      <c r="D1890" s="435"/>
      <c r="E1890" s="435"/>
      <c r="F1890" s="435"/>
      <c r="G1890" s="435"/>
      <c r="L1890" s="2255" t="s">
        <v>2327</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6548</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7072</v>
      </c>
      <c r="D1893" s="2223"/>
      <c r="E1893" s="2223"/>
      <c r="F1893" s="2223"/>
      <c r="G1893" s="2223"/>
      <c r="H1893" s="2223"/>
      <c r="I1893" s="2223"/>
      <c r="J1893" s="2223"/>
      <c r="K1893" s="2223"/>
      <c r="L1893" s="2223"/>
      <c r="M1893" s="2252">
        <v>1</v>
      </c>
      <c r="N1893" s="2224" t="s">
        <v>4283</v>
      </c>
      <c r="O1893" s="2407">
        <f>'Part IX Scoring Criteria'!O174</f>
        <v>0</v>
      </c>
      <c r="P1893" s="2362"/>
      <c r="Q1893" s="2282" t="str">
        <f>IF(OR($O1893=$M1893,$O1893=0,$O1893=""),"","*CHECK!*")</f>
        <v/>
      </c>
      <c r="R1893" s="1858" t="s">
        <v>4263</v>
      </c>
    </row>
    <row r="1894" spans="1:22" s="1852" customFormat="1" ht="36.75" customHeight="1">
      <c r="A1894" s="2255"/>
      <c r="B1894" s="2224" t="s">
        <v>2325</v>
      </c>
      <c r="C1894" s="2223" t="s">
        <v>7073</v>
      </c>
      <c r="D1894" s="2223"/>
      <c r="E1894" s="2223"/>
      <c r="F1894" s="2223"/>
      <c r="G1894" s="2223"/>
      <c r="H1894" s="2223"/>
      <c r="I1894" s="2223"/>
      <c r="J1894" s="2223"/>
      <c r="K1894" s="2223"/>
      <c r="L1894" s="2223"/>
      <c r="M1894" s="2252">
        <v>1</v>
      </c>
      <c r="N1894" s="2224" t="s">
        <v>6562</v>
      </c>
      <c r="O1894" s="2410">
        <f>'Part IX Scoring Criteria'!O175</f>
        <v>0</v>
      </c>
      <c r="P1894" s="2411"/>
      <c r="Q1894" s="2282" t="str">
        <f>IF(OR($O1894=$M1894,$O1894=0,$O1894=""),"","*CHECK!*")</f>
        <v/>
      </c>
      <c r="R1894" s="1858" t="s">
        <v>4263</v>
      </c>
    </row>
    <row r="1895" spans="1:22" s="1852" customFormat="1" ht="12" customHeight="1">
      <c r="A1895" s="2255"/>
      <c r="B1895" s="2255" t="s">
        <v>2326</v>
      </c>
      <c r="C1895" s="2223" t="s">
        <v>7074</v>
      </c>
      <c r="D1895" s="2223"/>
      <c r="E1895" s="2223"/>
      <c r="F1895" s="2223"/>
      <c r="G1895" s="2223"/>
      <c r="H1895" s="2223"/>
      <c r="I1895" s="2223"/>
      <c r="J1895" s="2223"/>
      <c r="K1895" s="2223"/>
      <c r="L1895" s="2223"/>
      <c r="M1895" s="2164">
        <v>1</v>
      </c>
      <c r="N1895" s="2255" t="s">
        <v>6563</v>
      </c>
      <c r="O1895" s="2407">
        <f>'Part IX Scoring Criteria'!O176</f>
        <v>0</v>
      </c>
      <c r="P1895" s="2362"/>
      <c r="Q1895" s="2282" t="str">
        <f>IF(OR($O1895=$M1895,$O1895=0,$O1895=""),"","*CHECK!*")</f>
        <v/>
      </c>
      <c r="R1895" s="1858" t="s">
        <v>4263</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3986</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4263</v>
      </c>
    </row>
    <row r="1898" spans="1:22" s="2284" customFormat="1" ht="10.5" customHeight="1">
      <c r="A1898" s="1818"/>
      <c r="B1898" s="2156" t="s">
        <v>3372</v>
      </c>
      <c r="C1898" s="1818"/>
      <c r="D1898" s="1719"/>
      <c r="E1898" s="1719"/>
      <c r="F1898" s="1719"/>
      <c r="G1898" s="1719"/>
      <c r="H1898" s="435"/>
      <c r="I1898" s="435"/>
      <c r="J1898" s="435"/>
      <c r="K1898" s="435"/>
      <c r="M1898" s="2108"/>
      <c r="N1898" s="2108"/>
      <c r="O1898" s="2192"/>
      <c r="P1898" s="2108"/>
    </row>
    <row r="1899" spans="1:22" s="2274" customFormat="1" ht="21.75" customHeight="1">
      <c r="A1899" s="2226">
        <f>'Part IX Scoring Criteria'!A180</f>
        <v>0</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3486</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3826</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6549</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7075</v>
      </c>
      <c r="D1906" s="1818"/>
      <c r="G1906" s="2290"/>
      <c r="O1906" s="2164"/>
      <c r="P1906" s="2164"/>
      <c r="Q1906" s="1912"/>
    </row>
    <row r="1907" spans="1:24" s="2309" customFormat="1" ht="12.75" customHeight="1">
      <c r="B1907" s="2392" t="s">
        <v>1896</v>
      </c>
      <c r="C1907" s="2223" t="s">
        <v>6466</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6467</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6470</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6468</v>
      </c>
      <c r="D1910" s="1818"/>
      <c r="G1910" s="2290"/>
      <c r="O1910" s="2164"/>
      <c r="P1910" s="2164"/>
      <c r="Q1910" s="1912"/>
    </row>
    <row r="1911" spans="1:24" s="2309" customFormat="1" ht="23.25" customHeight="1">
      <c r="B1911" s="2392" t="s">
        <v>1896</v>
      </c>
      <c r="C1911" s="2223" t="s">
        <v>7076</v>
      </c>
      <c r="D1911" s="2223"/>
      <c r="E1911" s="2223"/>
      <c r="F1911" s="2223"/>
      <c r="G1911" s="2223"/>
      <c r="H1911" s="2223"/>
      <c r="I1911" s="2223"/>
      <c r="J1911" s="2223"/>
      <c r="K1911" s="2223"/>
      <c r="L1911" s="2223"/>
      <c r="M1911" s="2257" t="s">
        <v>2021</v>
      </c>
      <c r="N1911" s="2359" t="s">
        <v>1896</v>
      </c>
      <c r="O1911" s="2264">
        <f>'Part IX Scoring Criteria'!O192</f>
        <v>0</v>
      </c>
      <c r="P1911" s="2252"/>
      <c r="Q1911" s="2028"/>
      <c r="V1911" s="2415"/>
      <c r="W1911" s="2415"/>
    </row>
    <row r="1912" spans="1:24" s="1818" customFormat="1" ht="23.25" customHeight="1">
      <c r="A1912" s="2255"/>
      <c r="B1912" s="2392" t="s">
        <v>1898</v>
      </c>
      <c r="C1912" s="2223" t="s">
        <v>7077</v>
      </c>
      <c r="D1912" s="2223"/>
      <c r="E1912" s="2223"/>
      <c r="F1912" s="2223"/>
      <c r="G1912" s="2223"/>
      <c r="H1912" s="2223"/>
      <c r="I1912" s="2223"/>
      <c r="J1912" s="2223"/>
      <c r="K1912" s="2223"/>
      <c r="L1912" s="2223"/>
      <c r="M1912" s="435"/>
      <c r="N1912" s="2359" t="s">
        <v>1898</v>
      </c>
      <c r="O1912" s="2264">
        <f>'Part IX Scoring Criteria'!O193</f>
        <v>0</v>
      </c>
      <c r="P1912" s="2252"/>
      <c r="Q1912" s="2105"/>
      <c r="V1912" s="2416"/>
      <c r="W1912" s="2416"/>
    </row>
    <row r="1913" spans="1:24" s="2274" customFormat="1" ht="12" customHeight="1">
      <c r="A1913" s="1818"/>
      <c r="B1913" s="2156" t="s">
        <v>3372</v>
      </c>
      <c r="C1913" s="1818"/>
      <c r="D1913" s="1719"/>
      <c r="E1913" s="1719"/>
      <c r="F1913" s="1719"/>
      <c r="G1913" s="1719"/>
      <c r="H1913" s="435"/>
      <c r="I1913" s="435"/>
      <c r="M1913" s="2108"/>
      <c r="N1913" s="2051"/>
      <c r="O1913" s="2192"/>
      <c r="P1913" s="2051"/>
    </row>
    <row r="1914" spans="1:24" s="2274" customFormat="1" ht="45.6" customHeight="1">
      <c r="A1914" s="2226">
        <f>'Part IX Scoring Criteria'!A195</f>
        <v>0</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8</v>
      </c>
      <c r="P1918" s="2192">
        <f>'Part IX Scoring Criteria'!P199</f>
        <v>0</v>
      </c>
      <c r="Q1918" s="2108" t="s">
        <v>422</v>
      </c>
      <c r="R1918" s="1858" t="s">
        <v>4263</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3987</v>
      </c>
      <c r="D1920" s="2156"/>
      <c r="E1920" s="2156"/>
      <c r="K1920" s="2418"/>
      <c r="M1920" s="2108">
        <v>5</v>
      </c>
      <c r="N1920" s="2255" t="s">
        <v>1893</v>
      </c>
      <c r="O1920" s="2371">
        <f>'Part IX Scoring Criteria'!O201</f>
        <v>4</v>
      </c>
      <c r="P1920" s="2192"/>
      <c r="Q1920" s="2282" t="str">
        <f>IF(O1920&lt;=M1920,"","*CHECK!*")</f>
        <v/>
      </c>
      <c r="R1920" s="1858" t="s">
        <v>4263</v>
      </c>
      <c r="S1920" s="2003"/>
      <c r="T1920" s="2003"/>
      <c r="U1920" s="2003"/>
    </row>
    <row r="1921" spans="1:22" ht="12.75" customHeight="1">
      <c r="B1921" s="2419"/>
      <c r="C1921" s="2160" t="s">
        <v>6551</v>
      </c>
      <c r="D1921" s="2420"/>
      <c r="E1921" s="2421"/>
      <c r="F1921" s="2421"/>
      <c r="G1921" s="2420"/>
      <c r="H1921" s="2420"/>
      <c r="I1921" s="2420"/>
      <c r="J1921" s="2182" t="str">
        <f>'Part IX Scoring Criteria'!J202</f>
        <v>Other Census Tract</v>
      </c>
      <c r="K1921" s="2182"/>
      <c r="L1921" s="2422"/>
      <c r="M1921" s="2422"/>
      <c r="N1921" s="2423"/>
      <c r="O1921" s="2051"/>
      <c r="P1921" s="2051"/>
      <c r="Q1921" s="1852"/>
      <c r="R1921" s="2423"/>
      <c r="S1921" s="2420"/>
    </row>
    <row r="1922" spans="1:22" ht="12.75" customHeight="1">
      <c r="C1922" s="2424" t="s">
        <v>6552</v>
      </c>
      <c r="D1922" s="2045"/>
      <c r="J1922" s="1948" t="str">
        <f>'Part IX Scoring Criteria'!J203</f>
        <v>114.23</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6472</v>
      </c>
      <c r="C1924" s="435"/>
      <c r="G1924" s="2055" t="s">
        <v>6533</v>
      </c>
      <c r="H1924" s="2253">
        <f>'Part IX Scoring Criteria'!H205</f>
        <v>2019</v>
      </c>
      <c r="K1924" s="2255"/>
      <c r="L1924" s="2255"/>
      <c r="M1924" s="2108">
        <v>5</v>
      </c>
      <c r="N1924" s="2255" t="s">
        <v>1895</v>
      </c>
      <c r="O1924" s="2371">
        <f>'Part IX Scoring Criteria'!O205</f>
        <v>4</v>
      </c>
      <c r="P1924" s="2192"/>
      <c r="Q1924" s="2282" t="str">
        <f>IF(O1924&lt;=M1924,"","*CHECK!*")</f>
        <v/>
      </c>
      <c r="R1924" s="1858" t="s">
        <v>4263</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6478</v>
      </c>
      <c r="E1926" s="2045"/>
      <c r="F1926" s="2428" t="s">
        <v>6477</v>
      </c>
      <c r="G1926" s="2428"/>
      <c r="H1926" s="2428"/>
      <c r="I1926" s="2428"/>
      <c r="J1926" s="2428"/>
      <c r="K1926" s="2428"/>
      <c r="L1926" s="2428"/>
      <c r="M1926" s="2045"/>
    </row>
    <row r="1927" spans="1:22" ht="13.5" customHeight="1">
      <c r="B1927" s="1926"/>
      <c r="C1927" s="2045"/>
      <c r="D1927" s="2160" t="s">
        <v>6475</v>
      </c>
      <c r="E1927" s="2160"/>
      <c r="F1927" s="2429" t="str">
        <f>'Part IX Scoring Criteria'!F208</f>
        <v>Above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6476</v>
      </c>
      <c r="E1928" s="2160"/>
      <c r="F1928" s="2429" t="str">
        <f>'Part IX Scoring Criteria'!F209</f>
        <v>At or Below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6473</v>
      </c>
      <c r="E1929" s="2160"/>
      <c r="F1929" s="2429" t="str">
        <f>'Part IX Scoring Criteria'!F210</f>
        <v>Above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6474</v>
      </c>
      <c r="E1930" s="2160"/>
      <c r="F1930" s="2429" t="str">
        <f>'Part IX Scoring Criteria'!F211</f>
        <v>At or Above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3372</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 xml:space="preserve">This project qualifies for eight points under the 2021 QAP Stable Communities scoring section. While the census tract the site is located with in does not score under the current guidelines, the site is located with .25 miles of a census tract that would meet the highest points total resulting in four points for part A of this section. Further, the census in which the site is located has metrics above the 60th percentile for Employment Rates, and Life expectancy. The project also is above the 80th percentile for median income resulting in 4 additional points for a total of 8 points for this scoring section.  </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4237</v>
      </c>
      <c r="C1939" s="2112"/>
      <c r="G1939" s="1912" t="s">
        <v>6541</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6542</v>
      </c>
      <c r="D1940" s="435"/>
      <c r="E1940" s="435"/>
      <c r="F1940" s="2108"/>
      <c r="G1940" s="2164" t="s">
        <v>3273</v>
      </c>
      <c r="H1940" s="2261">
        <f>IF('Part VI-Revenues &amp; Expenses'!$P$67=0,0,'Part VI-Revenues &amp; Expenses'!$P$64/'Part VI-Revenues &amp; Expenses'!$P$67)</f>
        <v>0</v>
      </c>
      <c r="J1940" s="2290" t="s">
        <v>4160</v>
      </c>
      <c r="K1940" s="2262" t="str">
        <f>'Part I-Project Information'!$K$94</f>
        <v>Income Averaging</v>
      </c>
      <c r="L1940" s="2262"/>
      <c r="M1940" s="2164"/>
      <c r="N1940" s="2108"/>
      <c r="O1940" s="2051"/>
      <c r="P1940" s="2192"/>
    </row>
    <row r="1941" spans="1:24" s="1852" customFormat="1" ht="12" customHeight="1">
      <c r="A1941" s="2117" t="s">
        <v>1893</v>
      </c>
      <c r="B1941" s="2112" t="s">
        <v>4158</v>
      </c>
      <c r="C1941" s="2112"/>
      <c r="D1941" s="2112" t="s">
        <v>4159</v>
      </c>
      <c r="M1941" s="2108">
        <v>1</v>
      </c>
      <c r="N1941" s="2255" t="s">
        <v>1893</v>
      </c>
      <c r="O1941" s="2371">
        <f>'Part IX Scoring Criteria'!O222</f>
        <v>0</v>
      </c>
      <c r="P1941" s="2192"/>
      <c r="Q1941" s="2397" t="str">
        <f>IF(OR($O1941=$M1941,$O1941=0,$O1941=""),"","*CHECK!*")</f>
        <v/>
      </c>
      <c r="R1941" s="1858" t="s">
        <v>4263</v>
      </c>
    </row>
    <row r="1942" spans="1:24" s="1852" customFormat="1" ht="12" customHeight="1">
      <c r="A1942" s="2117" t="s">
        <v>1895</v>
      </c>
      <c r="B1942" s="2112" t="s">
        <v>3975</v>
      </c>
      <c r="C1942" s="2112"/>
      <c r="D1942" s="2112" t="s">
        <v>4242</v>
      </c>
      <c r="M1942" s="2051">
        <v>1</v>
      </c>
      <c r="N1942" s="2255" t="s">
        <v>1895</v>
      </c>
      <c r="O1942" s="2371">
        <f>'Part IX Scoring Criteria'!O223</f>
        <v>1</v>
      </c>
      <c r="P1942" s="2192"/>
      <c r="Q1942" s="2397" t="str">
        <f>IF(OR($O1942=$M1942,$O1942=0,$O1942=""),"","*CHECK!*")</f>
        <v/>
      </c>
      <c r="R1942" s="1858" t="s">
        <v>4263</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3487</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3396</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3397</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3372</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 xml:space="preserve">This project will have RAD subsidy and are allowed to go up to 80% AMI.  As demonstrated in our Market Study, our project has acheivable rents at/above 80% AMI.  The RAD subsidy allows for deeper targeting at 30% AMI, thus allowing for an Income Averaging percentage well below 58%. </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4239</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4263</v>
      </c>
      <c r="S1956" s="1856"/>
      <c r="T1956" s="1856"/>
      <c r="U1956" s="1856"/>
      <c r="V1956" s="1856"/>
      <c r="W1956" s="1967"/>
      <c r="X1956" s="1967"/>
    </row>
    <row r="1957" spans="1:27" s="2112" customFormat="1" ht="11.25">
      <c r="A1957" s="2392"/>
      <c r="B1957" s="2223" t="s">
        <v>6553</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6554</v>
      </c>
      <c r="E1958" s="2121" t="s">
        <v>3452</v>
      </c>
      <c r="G1958" s="2230">
        <f>'Part IX Scoring Criteria'!G239</f>
        <v>0</v>
      </c>
      <c r="H1958" s="2255" t="s">
        <v>587</v>
      </c>
      <c r="I1958" s="2111">
        <f>'Part IX Scoring Criteria'!I239</f>
        <v>0</v>
      </c>
      <c r="J1958" s="2111"/>
      <c r="L1958" s="2433" t="s">
        <v>6556</v>
      </c>
      <c r="M1958" s="2434">
        <f>'Part IX Scoring Criteria'!M239</f>
        <v>0</v>
      </c>
      <c r="N1958" s="2434"/>
    </row>
    <row r="1959" spans="1:27" s="435" customFormat="1" ht="11.25" customHeight="1">
      <c r="A1959" s="2384"/>
      <c r="B1959" s="2392" t="s">
        <v>1898</v>
      </c>
      <c r="C1959" s="2160" t="s">
        <v>6555</v>
      </c>
      <c r="E1959" s="2121" t="s">
        <v>3452</v>
      </c>
      <c r="G1959" s="2230">
        <f>'Part IX Scoring Criteria'!G240</f>
        <v>0</v>
      </c>
      <c r="H1959" s="2255" t="s">
        <v>587</v>
      </c>
      <c r="I1959" s="2111">
        <f>'Part IX Scoring Criteria'!I240</f>
        <v>0</v>
      </c>
      <c r="J1959" s="2111"/>
      <c r="L1959" s="2433" t="s">
        <v>6556</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3372</v>
      </c>
      <c r="C1961" s="1818"/>
      <c r="D1961" s="1719"/>
      <c r="E1961" s="1719"/>
      <c r="F1961" s="1719"/>
      <c r="G1961" s="1719"/>
      <c r="H1961" s="435"/>
      <c r="I1961" s="435"/>
      <c r="J1961" s="435"/>
      <c r="K1961" s="435"/>
      <c r="M1961" s="2108"/>
      <c r="N1961" s="2051"/>
      <c r="O1961" s="2192"/>
      <c r="P1961" s="2051"/>
    </row>
    <row r="1962" spans="1:27" s="2274" customFormat="1" ht="21.75" customHeight="1">
      <c r="A1962" s="2226">
        <f>'Part IX Scoring Criteria'!A243</f>
        <v>0</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4161</v>
      </c>
      <c r="D1966" s="2379"/>
      <c r="E1966" s="2112" t="s">
        <v>6567</v>
      </c>
      <c r="G1966" s="2170"/>
      <c r="M1966" s="2108">
        <v>5</v>
      </c>
      <c r="N1966" s="2108"/>
      <c r="O1966" s="2192">
        <f>'Part IX Scoring Criteria'!O247</f>
        <v>4</v>
      </c>
      <c r="P1966" s="2192">
        <f>'Part IX Scoring Criteria'!P247</f>
        <v>0</v>
      </c>
      <c r="Q1966" s="2108" t="s">
        <v>422</v>
      </c>
      <c r="R1966" s="1858" t="s">
        <v>4263</v>
      </c>
      <c r="S1966" s="2435"/>
      <c r="T1966" s="2435"/>
      <c r="U1966" s="2435"/>
      <c r="V1966" s="2435"/>
      <c r="W1966" s="1967"/>
      <c r="X1966" s="1967"/>
    </row>
    <row r="1967" spans="1:27" s="1818" customFormat="1" ht="11.25" customHeight="1">
      <c r="A1967" s="2141" t="s">
        <v>1893</v>
      </c>
      <c r="B1967" s="1719" t="s">
        <v>7078</v>
      </c>
      <c r="M1967" s="2108">
        <v>5</v>
      </c>
      <c r="N1967" s="2255" t="s">
        <v>1893</v>
      </c>
      <c r="O1967" s="2371">
        <f>'Part IX Scoring Criteria'!O248</f>
        <v>4</v>
      </c>
      <c r="P1967" s="2192"/>
      <c r="Q1967" s="2397" t="str">
        <f>IF(OR($O1967=$M1967,$O1967=$M1967-1,$O1967=0,$O1967=""),"","*CHECK!*")</f>
        <v/>
      </c>
      <c r="R1967" s="1858" t="s">
        <v>4263</v>
      </c>
      <c r="S1967" s="2435"/>
      <c r="T1967" s="2435"/>
      <c r="U1967" s="2435"/>
      <c r="V1967" s="2435"/>
    </row>
    <row r="1968" spans="1:27" s="1818" customFormat="1" ht="11.25" customHeight="1">
      <c r="A1968" s="2141" t="s">
        <v>1895</v>
      </c>
      <c r="B1968" s="1719" t="s">
        <v>6568</v>
      </c>
      <c r="M1968" s="2108">
        <v>3</v>
      </c>
      <c r="N1968" s="2255" t="s">
        <v>1895</v>
      </c>
      <c r="O1968" s="2371">
        <f>'Part IX Scoring Criteria'!O249</f>
        <v>0</v>
      </c>
      <c r="P1968" s="2192"/>
      <c r="Q1968" s="2397" t="str">
        <f t="shared" ref="Q1968:Q1969" si="386">IF(OR($O1968=$M1968,$O1968=$M1968-1,$O1968=0,$O1968=""),"","*CHECK!*")</f>
        <v/>
      </c>
      <c r="R1968" s="1858" t="s">
        <v>4263</v>
      </c>
    </row>
    <row r="1969" spans="1:21" s="1852" customFormat="1">
      <c r="A1969" s="2141" t="s">
        <v>719</v>
      </c>
      <c r="B1969" s="1719" t="s">
        <v>6569</v>
      </c>
      <c r="E1969" s="2121" t="s">
        <v>6497</v>
      </c>
      <c r="I1969" s="2282"/>
      <c r="L1969" s="1818"/>
      <c r="M1969" s="2108">
        <v>3</v>
      </c>
      <c r="N1969" s="2255" t="s">
        <v>719</v>
      </c>
      <c r="O1969" s="2371">
        <f>'Part IX Scoring Criteria'!O250</f>
        <v>0</v>
      </c>
      <c r="P1969" s="2192"/>
      <c r="Q1969" s="2397" t="str">
        <f t="shared" si="386"/>
        <v/>
      </c>
      <c r="R1969" s="1858" t="s">
        <v>4263</v>
      </c>
    </row>
    <row r="1970" spans="1:21" s="2274" customFormat="1" ht="10.5" customHeight="1">
      <c r="A1970" s="1818"/>
      <c r="B1970" s="2156" t="s">
        <v>3372</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Per the DCA mapping tool there is only project within the city of Roswell's boundaries. The lone project, according to DCA's mapping tool, what awarded in 2014 resulting in the project qualifying for 4 points under the "15 Years Lookback Period" section</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4264</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3990</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3991</v>
      </c>
      <c r="D1978" s="2170"/>
      <c r="E1978" s="2170"/>
      <c r="F1978" s="2244"/>
      <c r="G1978" s="1852"/>
      <c r="L1978" s="2366"/>
      <c r="M1978" s="2108">
        <v>2</v>
      </c>
      <c r="N1978" s="2384" t="s">
        <v>1898</v>
      </c>
      <c r="O1978" s="2230">
        <f>'Part IX Scoring Criteria'!O259</f>
        <v>0</v>
      </c>
      <c r="P1978" s="2164"/>
      <c r="Q1978" s="2397"/>
      <c r="R1978" s="1912"/>
      <c r="T1978" s="2436"/>
      <c r="U1978" s="2436"/>
    </row>
    <row r="1979" spans="1:21" s="2284" customFormat="1" ht="10.5" customHeight="1">
      <c r="A1979" s="2141"/>
      <c r="B1979" s="2392" t="s">
        <v>2416</v>
      </c>
      <c r="C1979" s="2121" t="s">
        <v>3992</v>
      </c>
      <c r="D1979" s="2170"/>
      <c r="E1979" s="2170"/>
      <c r="F1979" s="2244"/>
      <c r="G1979" s="1852"/>
      <c r="K1979" s="2255"/>
      <c r="M1979" s="2108">
        <v>1</v>
      </c>
      <c r="N1979" s="2384" t="s">
        <v>2416</v>
      </c>
      <c r="O1979" s="2230">
        <f>'Part IX Scoring Criteria'!O260</f>
        <v>0</v>
      </c>
      <c r="P1979" s="2164"/>
      <c r="R1979" s="1967"/>
      <c r="T1979" s="2436"/>
      <c r="U1979" s="2436"/>
    </row>
    <row r="1980" spans="1:21" s="2274" customFormat="1" ht="11.25" customHeight="1">
      <c r="A1980" s="2141" t="s">
        <v>1895</v>
      </c>
      <c r="B1980" s="1719" t="s">
        <v>4152</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4153</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3993</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7166</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6499</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3519</v>
      </c>
      <c r="B1988" s="2153" t="s">
        <v>3488</v>
      </c>
      <c r="C1988" s="2112"/>
      <c r="D1988" s="2112"/>
      <c r="E1988" s="435"/>
      <c r="G1988" s="2112"/>
      <c r="I1988" s="1912" t="s">
        <v>6541</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6500</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1893</v>
      </c>
      <c r="B1990" s="1719" t="s">
        <v>3489</v>
      </c>
      <c r="C1990" s="2112"/>
      <c r="D1990" s="2112"/>
      <c r="E1990" s="435"/>
      <c r="G1990" s="2168">
        <f>'Part VIII-Threshold Criteria'!I2051</f>
        <v>0</v>
      </c>
      <c r="I1990" s="2121" t="s">
        <v>4284</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4016</v>
      </c>
      <c r="D1991" s="1818"/>
      <c r="N1991" s="2384" t="s">
        <v>4017</v>
      </c>
      <c r="O1991" s="2230">
        <f>'Part IX Scoring Criteria'!O272</f>
        <v>0</v>
      </c>
      <c r="P1991" s="2164"/>
      <c r="R1991" s="2366"/>
    </row>
    <row r="1992" spans="1:21" s="2284" customFormat="1" ht="10.5" customHeight="1">
      <c r="A1992" s="2141"/>
      <c r="B1992" s="2384"/>
      <c r="C1992" s="435" t="s">
        <v>6501</v>
      </c>
      <c r="D1992" s="1818"/>
      <c r="N1992" s="2384" t="s">
        <v>4018</v>
      </c>
      <c r="O1992" s="2230">
        <f>'Part IX Scoring Criteria'!O273</f>
        <v>0</v>
      </c>
      <c r="P1992" s="2164"/>
      <c r="R1992" s="2366"/>
    </row>
    <row r="1993" spans="1:21" s="2284" customFormat="1" ht="10.5" customHeight="1">
      <c r="A1993" s="2141"/>
      <c r="B1993" s="2384" t="s">
        <v>1898</v>
      </c>
      <c r="C1993" s="435" t="s">
        <v>3495</v>
      </c>
      <c r="D1993" s="1818"/>
      <c r="N1993" s="2384" t="s">
        <v>1898</v>
      </c>
      <c r="O1993" s="2230">
        <f>'Part IX Scoring Criteria'!O274</f>
        <v>0</v>
      </c>
      <c r="P1993" s="2164"/>
      <c r="R1993" s="2366"/>
    </row>
    <row r="1994" spans="1:21" s="2284" customFormat="1" ht="10.5" customHeight="1">
      <c r="A1994" s="2141"/>
      <c r="B1994" s="2384" t="s">
        <v>2416</v>
      </c>
      <c r="C1994" s="435" t="s">
        <v>4019</v>
      </c>
      <c r="D1994" s="1818"/>
      <c r="N1994" s="2384" t="s">
        <v>2416</v>
      </c>
      <c r="O1994" s="2230">
        <f>'Part IX Scoring Criteria'!O275</f>
        <v>0</v>
      </c>
      <c r="P1994" s="2164"/>
      <c r="R1994" s="2366"/>
    </row>
    <row r="1995" spans="1:21" s="2284" customFormat="1" ht="10.5" customHeight="1">
      <c r="B1995" s="2384" t="s">
        <v>1178</v>
      </c>
      <c r="C1995" s="435" t="s">
        <v>3496</v>
      </c>
      <c r="D1995" s="1818"/>
      <c r="N1995" s="2384" t="s">
        <v>1178</v>
      </c>
      <c r="O1995" s="2230">
        <f>'Part IX Scoring Criteria'!O276</f>
        <v>0</v>
      </c>
      <c r="P1995" s="2164"/>
      <c r="R1995" s="2366"/>
    </row>
    <row r="1996" spans="1:21" s="2274" customFormat="1" ht="12" customHeight="1">
      <c r="A1996" s="2141" t="s">
        <v>1895</v>
      </c>
      <c r="B1996" s="1719" t="s">
        <v>3490</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4016</v>
      </c>
      <c r="D1997" s="435"/>
      <c r="E1997" s="435"/>
      <c r="M1997" s="2108"/>
      <c r="N1997" s="2384" t="s">
        <v>4017</v>
      </c>
      <c r="O1997" s="2230">
        <f>'Part IX Scoring Criteria'!O278</f>
        <v>0</v>
      </c>
      <c r="P1997" s="2164"/>
      <c r="Q1997" s="2108"/>
    </row>
    <row r="1998" spans="1:21" s="2284" customFormat="1" ht="10.5" customHeight="1">
      <c r="A1998" s="2141"/>
      <c r="B1998" s="2384"/>
      <c r="C1998" s="435" t="s">
        <v>6502</v>
      </c>
      <c r="D1998" s="1818"/>
      <c r="N1998" s="2384" t="s">
        <v>4018</v>
      </c>
      <c r="O1998" s="2230">
        <f>'Part IX Scoring Criteria'!O279</f>
        <v>0</v>
      </c>
      <c r="P1998" s="2164"/>
      <c r="R1998" s="2366"/>
    </row>
    <row r="1999" spans="1:21" s="2284" customFormat="1" ht="10.5" customHeight="1">
      <c r="A1999" s="2141"/>
      <c r="B1999" s="2384" t="s">
        <v>1898</v>
      </c>
      <c r="C1999" s="435" t="s">
        <v>3507</v>
      </c>
      <c r="D1999" s="1818"/>
      <c r="N1999" s="2384" t="s">
        <v>1898</v>
      </c>
      <c r="O1999" s="2230">
        <f>'Part IX Scoring Criteria'!O280</f>
        <v>0</v>
      </c>
      <c r="P1999" s="2164"/>
      <c r="R1999" s="2366"/>
    </row>
    <row r="2000" spans="1:21" s="2284" customFormat="1" ht="10.5" customHeight="1">
      <c r="B2000" s="2384" t="s">
        <v>2416</v>
      </c>
      <c r="C2000" s="435" t="s">
        <v>3496</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3520</v>
      </c>
      <c r="B2005" s="2153" t="s">
        <v>1597</v>
      </c>
      <c r="D2005" s="2112"/>
      <c r="E2005" s="2112"/>
      <c r="G2005" s="435"/>
      <c r="M2005" s="2108">
        <v>2</v>
      </c>
      <c r="N2005" s="2437"/>
      <c r="O2005" s="2371">
        <f>'Part IX Scoring Criteria'!O286</f>
        <v>0</v>
      </c>
      <c r="P2005" s="2192"/>
      <c r="Q2005" s="2108" t="s">
        <v>422</v>
      </c>
      <c r="R2005" s="1907" t="s">
        <v>4263</v>
      </c>
      <c r="S2005" s="1907"/>
    </row>
    <row r="2006" spans="1:19" s="2274" customFormat="1" ht="11.25" customHeight="1">
      <c r="A2006" s="2141"/>
      <c r="B2006" s="2121" t="s">
        <v>3274</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3372</v>
      </c>
      <c r="C2008" s="1818"/>
      <c r="D2008" s="1719"/>
      <c r="E2008" s="1719"/>
      <c r="F2008" s="1719"/>
      <c r="G2008" s="1719"/>
      <c r="H2008" s="435"/>
      <c r="I2008" s="435"/>
      <c r="J2008" s="435"/>
      <c r="K2008" s="435"/>
      <c r="M2008" s="2108"/>
      <c r="N2008" s="2108"/>
      <c r="O2008" s="2192"/>
      <c r="P2008" s="2108"/>
    </row>
    <row r="2009" spans="1:19" s="2274" customFormat="1" ht="10.9" customHeight="1">
      <c r="A2009" s="2226">
        <f>'Part IX Scoring Criteria'!A290</f>
        <v>0</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3518</v>
      </c>
      <c r="B2013" s="2153" t="s">
        <v>3492</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7167</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3409</v>
      </c>
      <c r="L2016" s="2223"/>
      <c r="M2016" s="2223"/>
      <c r="N2016" s="2255" t="s">
        <v>2325</v>
      </c>
      <c r="O2016" s="2230">
        <f>'Part IX Scoring Criteria'!O297</f>
        <v>0</v>
      </c>
      <c r="P2016" s="2164"/>
      <c r="R2016" s="2223"/>
      <c r="S2016" s="2223"/>
    </row>
    <row r="2017" spans="1:20" s="2112" customFormat="1" ht="12.75" customHeight="1">
      <c r="B2017" s="2255" t="s">
        <v>2326</v>
      </c>
      <c r="C2017" s="435" t="s">
        <v>3408</v>
      </c>
      <c r="L2017" s="2223"/>
      <c r="M2017" s="2223"/>
      <c r="N2017" s="2255" t="s">
        <v>2326</v>
      </c>
      <c r="O2017" s="2230">
        <f>'Part IX Scoring Criteria'!O298</f>
        <v>0</v>
      </c>
      <c r="P2017" s="2164"/>
      <c r="R2017" s="2223"/>
      <c r="S2017" s="2223"/>
    </row>
    <row r="2018" spans="1:20" s="2112" customFormat="1" ht="33.75" customHeight="1">
      <c r="B2018" s="2224" t="s">
        <v>2327</v>
      </c>
      <c r="C2018" s="2223" t="s">
        <v>3994</v>
      </c>
      <c r="D2018" s="2223"/>
      <c r="E2018" s="2223"/>
      <c r="F2018" s="2223"/>
      <c r="G2018" s="2223"/>
      <c r="H2018" s="2223"/>
      <c r="I2018" s="2223"/>
      <c r="J2018" s="2223"/>
      <c r="K2018" s="2223"/>
      <c r="L2018" s="2223"/>
      <c r="M2018" s="2223"/>
      <c r="N2018" s="2224" t="s">
        <v>2327</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3493</v>
      </c>
      <c r="L2020" s="2366" t="str">
        <f>IF(O2020&lt;=M2020,"","* * Check Score! * *")</f>
        <v/>
      </c>
      <c r="M2020" s="2117">
        <v>3</v>
      </c>
      <c r="N2020" s="2255" t="s">
        <v>1893</v>
      </c>
      <c r="O2020" s="2371">
        <f>'Part IX Scoring Criteria'!O301</f>
        <v>0</v>
      </c>
      <c r="P2020" s="2192"/>
      <c r="Q2020" s="2397" t="str">
        <f>IF(O2020&lt;=M2020,"","*CHECK!*")</f>
        <v/>
      </c>
      <c r="R2020" s="1856" t="s">
        <v>4263</v>
      </c>
      <c r="S2020" s="1856"/>
      <c r="T2020" s="1907"/>
    </row>
    <row r="2021" spans="1:20" s="1852" customFormat="1" ht="12.75" customHeight="1">
      <c r="A2021" s="2417"/>
      <c r="B2021" s="2439" t="s">
        <v>1896</v>
      </c>
      <c r="C2021" s="2223" t="s">
        <v>3997</v>
      </c>
      <c r="D2021" s="2223"/>
      <c r="E2021" s="2223"/>
      <c r="F2021" s="2223"/>
      <c r="G2021" s="2223"/>
      <c r="H2021" s="2223"/>
      <c r="I2021" s="2223"/>
      <c r="R2021" s="1856"/>
      <c r="S2021" s="1856"/>
      <c r="T2021" s="1907"/>
    </row>
    <row r="2022" spans="1:20" s="1852" customFormat="1" ht="12.75" customHeight="1">
      <c r="A2022" s="2417"/>
      <c r="B2022" s="2392"/>
      <c r="C2022" s="2223" t="s">
        <v>3996</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3276</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4154</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6503</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3275</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6845</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3277</v>
      </c>
      <c r="C2032" s="435" t="s">
        <v>3999</v>
      </c>
      <c r="I2032" s="2255" t="s">
        <v>3277</v>
      </c>
      <c r="J2032" s="2182">
        <f>'Part IX Scoring Criteria'!J313</f>
        <v>0</v>
      </c>
      <c r="K2032" s="2182"/>
      <c r="L2032" s="2255" t="s">
        <v>3277</v>
      </c>
      <c r="M2032" s="2174"/>
      <c r="N2032" s="2174"/>
      <c r="O2032" s="2174"/>
      <c r="P2032" s="2174"/>
      <c r="R2032" s="2366"/>
    </row>
    <row r="2033" spans="1:22" s="1852" customFormat="1" ht="12.75" customHeight="1">
      <c r="B2033" s="2255" t="s">
        <v>6504</v>
      </c>
      <c r="C2033" s="435" t="s">
        <v>7168</v>
      </c>
      <c r="I2033" s="2255" t="s">
        <v>6504</v>
      </c>
      <c r="J2033" s="2182">
        <f>'Part IX Scoring Criteria'!J314</f>
        <v>0</v>
      </c>
      <c r="K2033" s="2182"/>
      <c r="L2033" s="2255" t="s">
        <v>6504</v>
      </c>
      <c r="M2033" s="2174"/>
      <c r="N2033" s="2174"/>
      <c r="O2033" s="2174"/>
      <c r="P2033" s="2174"/>
      <c r="R2033" s="2366"/>
    </row>
    <row r="2034" spans="1:22" s="1852" customFormat="1" ht="12.75" customHeight="1">
      <c r="B2034" s="2067" t="s">
        <v>7079</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6506</v>
      </c>
      <c r="H2036" s="1852"/>
      <c r="I2036" s="1852"/>
      <c r="J2036" s="2174">
        <f>'Part VI-Revenues &amp; Expenses'!$P$67</f>
        <v>95</v>
      </c>
      <c r="K2036" s="2174"/>
      <c r="L2036" s="1864"/>
      <c r="M2036" s="1856"/>
      <c r="N2036" s="1856"/>
      <c r="O2036" s="2441"/>
      <c r="P2036" s="1856"/>
    </row>
    <row r="2037" spans="1:22" s="1852" customFormat="1" ht="13.5" customHeight="1">
      <c r="C2037" s="1864"/>
      <c r="D2037" s="1864"/>
      <c r="E2037" s="1864"/>
      <c r="F2037" s="2290" t="s">
        <v>6507</v>
      </c>
      <c r="J2037" s="2442">
        <f>J2034/J2036</f>
        <v>0</v>
      </c>
      <c r="K2037" s="2442"/>
      <c r="M2037" s="2442">
        <f>IF($J2036=0,0,$M2034/$J2036)</f>
        <v>0</v>
      </c>
      <c r="N2037" s="2442"/>
      <c r="O2037" s="2442"/>
      <c r="P2037" s="2442"/>
    </row>
    <row r="2038" spans="1:22" s="2274" customFormat="1" ht="12.75" customHeight="1">
      <c r="C2038" s="1864"/>
      <c r="D2038" s="1864"/>
      <c r="E2038" s="1864"/>
      <c r="F2038" s="2112" t="s">
        <v>6508</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3278</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4263</v>
      </c>
      <c r="V2040" s="2436"/>
    </row>
    <row r="2041" spans="1:22" s="2274" customFormat="1" ht="22.5" customHeight="1">
      <c r="A2041" s="2141"/>
      <c r="B2041" s="2392" t="s">
        <v>1896</v>
      </c>
      <c r="C2041" s="2223" t="s">
        <v>3494</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3403</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4001</v>
      </c>
      <c r="N2043" s="2384" t="s">
        <v>2416</v>
      </c>
      <c r="O2043" s="2264">
        <f>'Part IX Scoring Criteria'!O324</f>
        <v>0</v>
      </c>
      <c r="P2043" s="2164"/>
    </row>
    <row r="2044" spans="1:22" s="1852" customFormat="1" ht="12" customHeight="1">
      <c r="B2044" s="2156" t="s">
        <v>3372</v>
      </c>
      <c r="N2044" s="2051"/>
      <c r="O2044" s="2051"/>
      <c r="P2044" s="2051"/>
    </row>
    <row r="2045" spans="1:22" s="2274" customFormat="1" ht="21.75" customHeight="1">
      <c r="A2045" s="2226">
        <f>'Part IX Scoring Criteria'!A326</f>
        <v>0</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3521</v>
      </c>
      <c r="B2049" s="2153" t="s">
        <v>2566</v>
      </c>
      <c r="D2049" s="2121"/>
      <c r="G2049" s="2170" t="s">
        <v>7153</v>
      </c>
      <c r="I2049" s="2044" t="s">
        <v>6541</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4155</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4263</v>
      </c>
    </row>
    <row r="2054" spans="1:19" s="2391" customFormat="1" ht="12" customHeight="1">
      <c r="A2054" s="2309"/>
      <c r="B2054" s="435" t="s">
        <v>7169</v>
      </c>
      <c r="C2054" s="435"/>
      <c r="D2054" s="435"/>
      <c r="E2054" s="435"/>
      <c r="F2054" s="435"/>
      <c r="G2054" s="435"/>
      <c r="H2054" s="435"/>
      <c r="I2054" s="435"/>
      <c r="J2054" s="435"/>
      <c r="K2054" s="435"/>
      <c r="L2054" s="435"/>
      <c r="M2054" s="1905" t="s">
        <v>7170</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95</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7171</v>
      </c>
      <c r="B2060" s="2223" t="s">
        <v>4156</v>
      </c>
      <c r="C2060" s="2223"/>
      <c r="H2060" s="2223"/>
      <c r="M2060" s="2309">
        <v>2</v>
      </c>
      <c r="N2060" s="2224" t="s">
        <v>1895</v>
      </c>
      <c r="O2060" s="2371">
        <f>'Part IX Scoring Criteria'!O341</f>
        <v>0</v>
      </c>
      <c r="P2060" s="2371"/>
      <c r="Q2060" s="2397" t="str">
        <f>IF(OR($O2060=$M2060,$O2060=0,$O2060=""),"","*CHECK!*")</f>
        <v/>
      </c>
      <c r="R2060" s="1858" t="s">
        <v>4263</v>
      </c>
    </row>
    <row r="2061" spans="1:19" s="2391" customFormat="1" ht="11.25" customHeight="1">
      <c r="A2061" s="2445"/>
      <c r="B2061" s="2223" t="s">
        <v>7080</v>
      </c>
      <c r="C2061" s="2223"/>
      <c r="D2061" s="2223"/>
      <c r="E2061" s="2223"/>
      <c r="F2061" s="2223"/>
      <c r="G2061" s="2223"/>
      <c r="H2061" s="2223"/>
      <c r="I2061" s="2223"/>
      <c r="J2061" s="2223"/>
      <c r="K2061" s="2223"/>
      <c r="L2061" s="2223"/>
      <c r="M2061" s="1967" t="s">
        <v>4002</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95</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3372</v>
      </c>
      <c r="C2064" s="1818"/>
      <c r="D2064" s="1719"/>
      <c r="E2064" s="1719"/>
      <c r="F2064" s="1719"/>
      <c r="G2064" s="1719"/>
      <c r="H2064" s="435"/>
      <c r="I2064" s="435"/>
      <c r="J2064" s="435"/>
      <c r="K2064" s="435"/>
      <c r="M2064" s="2108"/>
      <c r="N2064" s="2051"/>
      <c r="O2064" s="2192"/>
      <c r="P2064" s="2051"/>
    </row>
    <row r="2065" spans="1:18" s="2274" customFormat="1" ht="73.5" customHeight="1">
      <c r="A2065" s="2226">
        <f>'Part IX Scoring Criteria'!A346</f>
        <v>0</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3522</v>
      </c>
      <c r="B2069" s="2153" t="s">
        <v>4238</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3300</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3301</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3302</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3525</v>
      </c>
      <c r="B2077" s="2153" t="s">
        <v>6511</v>
      </c>
      <c r="C2077" s="2228"/>
      <c r="D2077" s="2228"/>
      <c r="E2077" s="2228"/>
      <c r="F2077" s="2228"/>
      <c r="G2077" s="2170" t="s">
        <v>7153</v>
      </c>
      <c r="H2077" s="2228"/>
      <c r="I2077" s="2121" t="s">
        <v>3985</v>
      </c>
      <c r="J2077" s="2121" t="str">
        <f>'Part I-Project Information'!$H$77</f>
        <v>Family</v>
      </c>
      <c r="K2077" s="2228"/>
      <c r="L2077" s="2228"/>
      <c r="M2077" s="2108">
        <v>2</v>
      </c>
      <c r="N2077" s="2309"/>
      <c r="O2077" s="2371">
        <f>'Part IX Scoring Criteria'!O358</f>
        <v>0</v>
      </c>
      <c r="P2077" s="2192"/>
      <c r="Q2077" s="2108" t="s">
        <v>422</v>
      </c>
      <c r="R2077" s="1858" t="s">
        <v>2554</v>
      </c>
    </row>
    <row r="2078" spans="1:18" s="2274" customFormat="1" ht="12" customHeight="1">
      <c r="A2078" s="2141" t="s">
        <v>1893</v>
      </c>
      <c r="B2078" s="1719" t="s">
        <v>6514</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3826</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6517</v>
      </c>
      <c r="D2080" s="2121" t="s">
        <v>6557</v>
      </c>
      <c r="E2080" s="2121"/>
      <c r="F2080" s="2121"/>
      <c r="G2080" s="2121"/>
      <c r="H2080" s="2121"/>
      <c r="K2080" s="2121"/>
      <c r="L2080" s="2121"/>
      <c r="N2080" s="2108"/>
      <c r="O2080" s="435" t="s">
        <v>4261</v>
      </c>
      <c r="P2080" s="435"/>
      <c r="Q2080" s="2108"/>
    </row>
    <row r="2081" spans="1:23" s="2274" customFormat="1" ht="10.5" customHeight="1">
      <c r="A2081" s="2373"/>
      <c r="B2081" s="2270" t="s">
        <v>2324</v>
      </c>
      <c r="C2081" s="2112" t="s">
        <v>6512</v>
      </c>
      <c r="N2081" s="2270" t="s">
        <v>2324</v>
      </c>
      <c r="O2081" s="2446">
        <f>'Part IX Scoring Criteria'!O362</f>
        <v>0</v>
      </c>
      <c r="P2081" s="2372"/>
    </row>
    <row r="2082" spans="1:23" s="2391" customFormat="1" ht="21.75" customHeight="1">
      <c r="A2082" s="2257"/>
      <c r="B2082" s="2224" t="s">
        <v>2325</v>
      </c>
      <c r="C2082" s="2223" t="s">
        <v>6513</v>
      </c>
      <c r="D2082" s="2223"/>
      <c r="E2082" s="2223"/>
      <c r="F2082" s="2223"/>
      <c r="G2082" s="2223"/>
      <c r="H2082" s="2223"/>
      <c r="I2082" s="2223"/>
      <c r="J2082" s="2223"/>
      <c r="K2082" s="2223"/>
      <c r="L2082" s="2223"/>
      <c r="M2082" s="2223"/>
      <c r="N2082" s="2224" t="s">
        <v>2325</v>
      </c>
      <c r="O2082" s="2447">
        <f>'Part IX Scoring Criteria'!O363</f>
        <v>0</v>
      </c>
      <c r="P2082" s="2028"/>
    </row>
    <row r="2083" spans="1:23" s="2391" customFormat="1" ht="21.75" customHeight="1">
      <c r="A2083" s="2257"/>
      <c r="B2083" s="2224" t="s">
        <v>2326</v>
      </c>
      <c r="C2083" s="2223" t="s">
        <v>6515</v>
      </c>
      <c r="D2083" s="2223"/>
      <c r="E2083" s="2223"/>
      <c r="F2083" s="2223"/>
      <c r="G2083" s="2223"/>
      <c r="H2083" s="2223"/>
      <c r="I2083" s="2223"/>
      <c r="J2083" s="2223"/>
      <c r="K2083" s="2223"/>
      <c r="L2083" s="2223"/>
      <c r="M2083" s="2223"/>
      <c r="N2083" s="2224" t="s">
        <v>2326</v>
      </c>
      <c r="O2083" s="2447">
        <f>'Part IX Scoring Criteria'!O364</f>
        <v>0</v>
      </c>
      <c r="P2083" s="2028"/>
    </row>
    <row r="2084" spans="1:23" s="2284" customFormat="1" ht="11.25" customHeight="1">
      <c r="B2084" s="2255" t="s">
        <v>2327</v>
      </c>
      <c r="C2084" s="435" t="s">
        <v>6516</v>
      </c>
      <c r="N2084" s="2255" t="s">
        <v>2327</v>
      </c>
      <c r="O2084" s="2136">
        <f>'Part IX Scoring Criteria'!O365</f>
        <v>0</v>
      </c>
      <c r="P2084" s="2044"/>
    </row>
    <row r="2085" spans="1:23" s="2284" customFormat="1" ht="11.25" customHeight="1">
      <c r="A2085" s="2306"/>
      <c r="B2085" s="2121" t="s">
        <v>6518</v>
      </c>
      <c r="D2085" s="2121"/>
      <c r="E2085" s="2121"/>
      <c r="F2085" s="2121"/>
      <c r="G2085" s="2121"/>
      <c r="H2085" s="2121" t="s">
        <v>6557</v>
      </c>
      <c r="K2085" s="2121"/>
      <c r="L2085" s="2121"/>
      <c r="M2085" s="2108"/>
      <c r="N2085" s="2108"/>
      <c r="O2085" s="2112" t="s">
        <v>4261</v>
      </c>
      <c r="P2085" s="2112"/>
      <c r="Q2085" s="2108"/>
    </row>
    <row r="2086" spans="1:23" s="2274" customFormat="1" ht="12.75" customHeight="1">
      <c r="A2086" s="2373"/>
      <c r="B2086" s="2270" t="s">
        <v>2324</v>
      </c>
      <c r="C2086" s="2298" t="s">
        <v>6519</v>
      </c>
      <c r="D2086" s="2298"/>
      <c r="E2086" s="2298"/>
      <c r="F2086" s="2298"/>
      <c r="G2086" s="2298"/>
      <c r="H2086" s="2298"/>
      <c r="I2086" s="2298"/>
      <c r="J2086" s="2298"/>
      <c r="K2086" s="2298"/>
      <c r="L2086" s="2298"/>
      <c r="N2086" s="2270" t="s">
        <v>2324</v>
      </c>
      <c r="O2086" s="2446">
        <f>'Part IX Scoring Criteria'!O367</f>
        <v>0</v>
      </c>
      <c r="P2086" s="2372"/>
    </row>
    <row r="2087" spans="1:23" s="2274" customFormat="1" ht="12.75" customHeight="1">
      <c r="A2087" s="2373"/>
      <c r="B2087" s="2270" t="s">
        <v>2325</v>
      </c>
      <c r="C2087" s="2298" t="s">
        <v>6520</v>
      </c>
      <c r="D2087" s="2298"/>
      <c r="E2087" s="2298"/>
      <c r="F2087" s="2298"/>
      <c r="G2087" s="2298"/>
      <c r="H2087" s="2298"/>
      <c r="I2087" s="2298"/>
      <c r="J2087" s="2298"/>
      <c r="K2087" s="2298"/>
      <c r="L2087" s="2298"/>
      <c r="M2087" s="2112"/>
      <c r="N2087" s="2270" t="s">
        <v>2325</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6521</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6557</v>
      </c>
      <c r="C2090" s="2255"/>
      <c r="D2090" s="2255"/>
      <c r="E2090" s="2255"/>
      <c r="F2090" s="2255"/>
      <c r="J2090" s="2223"/>
      <c r="K2090" s="2223"/>
      <c r="L2090" s="2223"/>
      <c r="N2090" s="2051"/>
      <c r="O2090" s="2112" t="s">
        <v>4261</v>
      </c>
      <c r="P2090" s="2112"/>
      <c r="Q2090" s="1912"/>
      <c r="R2090" s="2274"/>
      <c r="S2090" s="2274"/>
      <c r="T2090" s="2274"/>
      <c r="U2090" s="2274"/>
    </row>
    <row r="2091" spans="1:23" s="2391" customFormat="1" ht="11.25" customHeight="1">
      <c r="A2091" s="2448"/>
      <c r="B2091" s="2392" t="s">
        <v>1896</v>
      </c>
      <c r="C2091" s="2449" t="s">
        <v>6558</v>
      </c>
      <c r="D2091" s="2449"/>
      <c r="E2091" s="2449"/>
      <c r="F2091" s="2449"/>
      <c r="G2091" s="2449"/>
      <c r="H2091" s="2449"/>
      <c r="I2091" s="2449"/>
      <c r="J2091" s="2449"/>
      <c r="K2091" s="2449"/>
      <c r="L2091" s="2449"/>
      <c r="M2091" s="2449"/>
      <c r="N2091" s="2359" t="s">
        <v>1896</v>
      </c>
      <c r="O2091" s="2447">
        <f>'Part IX Scoring Criteria'!O372</f>
        <v>0</v>
      </c>
      <c r="P2091" s="2028"/>
      <c r="Q2091" s="2309"/>
    </row>
    <row r="2092" spans="1:23" s="2284" customFormat="1" ht="11.25" customHeight="1">
      <c r="A2092" s="2306"/>
      <c r="B2092" s="2392" t="s">
        <v>1898</v>
      </c>
      <c r="C2092" s="2449" t="s">
        <v>6559</v>
      </c>
      <c r="D2092" s="2449"/>
      <c r="E2092" s="2449"/>
      <c r="F2092" s="2449"/>
      <c r="G2092" s="2449"/>
      <c r="H2092" s="2449"/>
      <c r="I2092" s="2449"/>
      <c r="J2092" s="2449"/>
      <c r="K2092" s="2449"/>
      <c r="L2092" s="2449"/>
      <c r="M2092" s="2449"/>
      <c r="N2092" s="2359" t="s">
        <v>1898</v>
      </c>
      <c r="O2092" s="2447">
        <f>'Part IX Scoring Criteria'!O373</f>
        <v>0</v>
      </c>
      <c r="P2092" s="2028"/>
      <c r="Q2092" s="2108"/>
    </row>
    <row r="2093" spans="1:23" s="2274" customFormat="1" ht="11.25" customHeight="1">
      <c r="A2093" s="1818"/>
      <c r="B2093" s="2156" t="s">
        <v>3372</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f>'Part IX Scoring Criteria'!A375</f>
        <v>0</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3526</v>
      </c>
      <c r="B2098" s="2153" t="s">
        <v>6523</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3527</v>
      </c>
      <c r="B2102" s="2153" t="s">
        <v>6524</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3528</v>
      </c>
      <c r="B2106" s="2153" t="s">
        <v>6525</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3529</v>
      </c>
      <c r="B2110" s="2153" t="s">
        <v>6526</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3530</v>
      </c>
      <c r="B2114" s="2153" t="s">
        <v>6846</v>
      </c>
      <c r="C2114" s="2112"/>
      <c r="D2114" s="2112"/>
      <c r="E2114" s="435"/>
      <c r="G2114" s="2112"/>
      <c r="I2114" s="1967" t="s">
        <v>6529</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64</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7081</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 xml:space="preserve">Scoring Section XV. Extended Affordability Commitment - The Applicant has agreed to a ROFR at minimum IRS guidelines/requirements.  This is creating future "real" value to RHA.  The site is in a Stable Community and has value today.  The ROFR and waicver of Qualified Contract creates real future value to RHA thus insuring that RHA will have capaicity in future years if ROFR is executed.  Pennrose  is waiving the option of Qualified Contract and granting RHA a Right of First Refusal (ROFR) under IRS minimum guidelines. If exercised after the compliance period, RHA will benefit from likely substantial asset appreciation, especially after current RAD contract expires in 2035. Currently, RAD rents are below achievable tax credit rents and substantially below market rate/unrestricted rents.  </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4166</v>
      </c>
      <c r="B2128" s="2453"/>
      <c r="C2128" s="2453"/>
      <c r="D2128" s="2453"/>
      <c r="E2128" s="2453"/>
      <c r="F2128" s="2453"/>
      <c r="G2128" s="2453"/>
      <c r="H2128" s="2453"/>
    </row>
    <row r="2129" spans="1:11" s="2454" customFormat="1" ht="18.75">
      <c r="A2129" s="2453" t="s">
        <v>4167</v>
      </c>
      <c r="B2129" s="2453"/>
      <c r="C2129" s="2453"/>
      <c r="D2129" s="2453"/>
      <c r="E2129" s="2453"/>
      <c r="F2129" s="2453"/>
      <c r="G2129" s="2453"/>
      <c r="H2129" s="2453"/>
    </row>
    <row r="2130" spans="1:11" s="2454" customFormat="1" ht="15" customHeight="1">
      <c r="A2130" s="2455" t="s">
        <v>4168</v>
      </c>
      <c r="B2130" s="2456"/>
      <c r="C2130" s="2456"/>
      <c r="D2130" s="2457">
        <f>'Part I-Project Information'!F2114</f>
        <v>0</v>
      </c>
      <c r="E2130" s="2457"/>
      <c r="F2130" s="2457"/>
      <c r="G2130" s="2457"/>
      <c r="H2130" s="2457"/>
      <c r="I2130" s="2457"/>
      <c r="J2130" s="2458" t="s">
        <v>6420</v>
      </c>
      <c r="K2130" s="2458"/>
    </row>
    <row r="2131" spans="1:11" s="2454" customFormat="1" ht="15" customHeight="1">
      <c r="A2131" s="2455" t="s">
        <v>4169</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4210</v>
      </c>
      <c r="K2131" s="2458"/>
    </row>
    <row r="2132" spans="1:11" s="2454" customFormat="1" ht="15" customHeight="1">
      <c r="A2132" s="2455" t="s">
        <v>4170</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4172</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4173</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4174</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4175</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4176</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4177</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4178</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4179</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4180</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4181</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4182</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4183</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4184</v>
      </c>
      <c r="C2151" s="2466"/>
      <c r="D2151" s="2466"/>
      <c r="E2151" s="2466"/>
      <c r="F2151" s="2466"/>
      <c r="G2151" s="2466"/>
      <c r="H2151" s="2466"/>
      <c r="I2151" s="2466"/>
      <c r="J2151" s="2466"/>
      <c r="K2151" s="2467"/>
    </row>
    <row r="2152" spans="1:13" s="2454" customFormat="1" ht="14.25" customHeight="1">
      <c r="A2152" s="2469" t="s">
        <v>7172</v>
      </c>
      <c r="C2152" s="2466"/>
      <c r="D2152" s="2466"/>
      <c r="E2152" s="2466"/>
      <c r="F2152" s="2466"/>
      <c r="G2152" s="2466"/>
      <c r="H2152" s="2466"/>
      <c r="I2152" s="2466"/>
      <c r="J2152" s="2466"/>
      <c r="K2152" s="2467"/>
    </row>
    <row r="2153" spans="1:13" s="2454" customFormat="1" ht="14.25" customHeight="1">
      <c r="A2153" s="2469" t="s">
        <v>7173</v>
      </c>
      <c r="C2153" s="2466"/>
      <c r="D2153" s="2466"/>
      <c r="E2153" s="2466"/>
      <c r="F2153" s="2466"/>
      <c r="G2153" s="2466"/>
      <c r="H2153" s="2466"/>
      <c r="I2153" s="2466"/>
      <c r="J2153" s="2466"/>
      <c r="K2153" s="2467"/>
    </row>
    <row r="2154" spans="1:13" s="2454" customFormat="1" ht="14.25" customHeight="1">
      <c r="A2154" s="2469" t="s">
        <v>7174</v>
      </c>
      <c r="C2154" s="2466"/>
      <c r="D2154" s="2466"/>
      <c r="E2154" s="2466"/>
      <c r="F2154" s="2466"/>
      <c r="G2154" s="2466"/>
      <c r="H2154" s="2466"/>
      <c r="I2154" s="2466"/>
      <c r="J2154" s="2466"/>
      <c r="K2154" s="2467"/>
    </row>
    <row r="2155" spans="1:13" s="2454" customFormat="1" ht="14.25" customHeight="1">
      <c r="A2155" s="2469" t="s">
        <v>7175</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4214</v>
      </c>
      <c r="B2157" s="2458"/>
      <c r="C2157" s="2458"/>
      <c r="D2157" s="2458"/>
      <c r="E2157" s="2458"/>
      <c r="F2157" s="2458"/>
      <c r="G2157" s="2458"/>
      <c r="H2157" s="2458"/>
      <c r="I2157" s="2458"/>
      <c r="J2157" s="2458"/>
      <c r="K2157" s="2458"/>
    </row>
    <row r="2158" spans="1:13" s="2454" customFormat="1" ht="16.5">
      <c r="B2158" s="2458" t="s">
        <v>6420</v>
      </c>
      <c r="C2158" s="2458"/>
      <c r="D2158" s="2458"/>
      <c r="E2158" s="2458"/>
      <c r="F2158" s="2458"/>
      <c r="G2158" s="2458" t="s">
        <v>4185</v>
      </c>
      <c r="H2158" s="2458"/>
      <c r="I2158" s="2458"/>
      <c r="J2158" s="2458"/>
      <c r="K2158" s="2458"/>
    </row>
    <row r="2159" spans="1:13" s="2454" customFormat="1" ht="56.25" customHeight="1">
      <c r="B2159" s="2465" t="s">
        <v>7176</v>
      </c>
      <c r="C2159" s="2465" t="s">
        <v>7177</v>
      </c>
      <c r="D2159" s="2465" t="s">
        <v>7178</v>
      </c>
      <c r="E2159" s="2470" t="s">
        <v>6312</v>
      </c>
      <c r="F2159" s="2470"/>
      <c r="G2159" s="2465" t="s">
        <v>4186</v>
      </c>
      <c r="H2159" s="2465" t="s">
        <v>4187</v>
      </c>
      <c r="J2159" s="2465" t="s">
        <v>4188</v>
      </c>
      <c r="K2159" s="2465" t="s">
        <v>4189</v>
      </c>
      <c r="L2159" s="2471" t="s">
        <v>4190</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4191</v>
      </c>
      <c r="H2179" s="2482" t="e">
        <f>SUM(H2160:H2178)</f>
        <v>#VALUE!</v>
      </c>
      <c r="I2179" s="2456"/>
      <c r="J2179" s="2480" t="s">
        <v>4192</v>
      </c>
      <c r="K2179" s="2462" t="e">
        <f>SUM(K2160:K2178)</f>
        <v>#VALUE!</v>
      </c>
      <c r="L2179" s="2471"/>
      <c r="M2179" s="2471"/>
    </row>
    <row r="2180" spans="1:13" s="2454" customFormat="1" ht="15" customHeight="1">
      <c r="B2180" s="2480"/>
      <c r="C2180" s="2456" t="s">
        <v>4193</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4194</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4195</v>
      </c>
    </row>
    <row r="2184" spans="1:13" s="2454" customFormat="1" ht="48" customHeight="1">
      <c r="C2184" s="2465" t="s">
        <v>4196</v>
      </c>
      <c r="D2184" s="2465" t="s">
        <v>6272</v>
      </c>
      <c r="E2184" s="2454" t="s">
        <v>4212</v>
      </c>
      <c r="G2184" s="2470" t="s">
        <v>4197</v>
      </c>
      <c r="H2184" s="2470"/>
      <c r="I2184" s="2454" t="s">
        <v>4211</v>
      </c>
    </row>
    <row r="2185" spans="1:13" s="2454" customFormat="1" ht="15" customHeight="1">
      <c r="A2185" s="2465"/>
      <c r="C2185" s="2483" t="e">
        <f>SUMIF(C2160:C2178, "0", H2160:H2178)</f>
        <v>#VALUE!</v>
      </c>
      <c r="D2185" s="2465" t="e">
        <f t="shared" ref="D2185:D2190" si="389">ROUNDUP(C2185*1.1,0)</f>
        <v>#VALUE!</v>
      </c>
      <c r="E2185" s="2456" t="s">
        <v>4198</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4199</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4200</v>
      </c>
      <c r="F2190" s="2456"/>
      <c r="G2190" s="2484">
        <v>303489.59999999998</v>
      </c>
      <c r="H2190" s="2484"/>
      <c r="I2190" s="2485">
        <f t="shared" si="390"/>
        <v>0</v>
      </c>
      <c r="J2190" s="2485"/>
    </row>
    <row r="2191" spans="1:13" s="2454" customFormat="1" ht="16.5">
      <c r="A2191" s="2465" t="s">
        <v>4201</v>
      </c>
      <c r="B2191" s="2482" t="e">
        <f>SUM(C2185:C2190)</f>
        <v>#VALUE!</v>
      </c>
      <c r="C2191" s="2465"/>
      <c r="D2191" s="2465" t="e">
        <f>SUM(D2185:D2190)</f>
        <v>#VALUE!</v>
      </c>
      <c r="J2191" s="2481" t="s">
        <v>4202</v>
      </c>
      <c r="K2191" s="2486" t="e">
        <f>SUM(I2185:I2189)</f>
        <v>#VALUE!</v>
      </c>
    </row>
    <row r="2192" spans="1:13" s="2454" customFormat="1" ht="16.5"/>
    <row r="2193" spans="1:11" s="2454" customFormat="1" ht="16.5">
      <c r="A2193" s="2454" t="s">
        <v>4203</v>
      </c>
    </row>
    <row r="2194" spans="1:11" s="2454" customFormat="1" ht="15" customHeight="1">
      <c r="A2194" s="2465"/>
      <c r="E2194" s="2454" t="s">
        <v>4204</v>
      </c>
      <c r="K2194" s="2470">
        <f>J2138</f>
        <v>0</v>
      </c>
    </row>
    <row r="2195" spans="1:11" s="2454" customFormat="1" ht="16.5">
      <c r="A2195" s="2465"/>
      <c r="E2195" s="2454" t="s">
        <v>4205</v>
      </c>
      <c r="K2195" s="2470" t="e">
        <f>K2181</f>
        <v>#VALUE!</v>
      </c>
    </row>
    <row r="2196" spans="1:11" s="2454" customFormat="1" ht="16.5">
      <c r="A2196" s="2465"/>
      <c r="E2196" s="2454" t="s">
        <v>4206</v>
      </c>
      <c r="K2196" s="2470" t="e">
        <f>K2191</f>
        <v>#VALUE!</v>
      </c>
    </row>
    <row r="2197" spans="1:11" s="2454" customFormat="1" ht="16.5">
      <c r="A2197" s="2465"/>
      <c r="C2197" s="2456" t="s">
        <v>4207</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MgRf4piGlvmDSDUS+i7YL2T0HEIWg5OgD/5OcHTfe36uoe87wU4bEanSoG+OzThapF1I3Hs3e2jrWVAl6wJctw==" saltValue="YeGuU7zf9dj4qGRuA1yJr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0E34F77C-5408-4B9F-9B00-A69504620DF2}">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9" customWidth="1"/>
    <col min="2" max="13" width="7.85546875" style="3119" customWidth="1"/>
    <col min="14" max="15" width="5.85546875" style="3119" customWidth="1"/>
    <col min="16" max="16384" width="8.85546875" style="3119"/>
  </cols>
  <sheetData>
    <row r="1" spans="1:26" ht="18">
      <c r="N1" s="3120" t="s">
        <v>1438</v>
      </c>
      <c r="O1" s="3120"/>
      <c r="P1" s="3120"/>
      <c r="Q1" s="3120"/>
      <c r="R1" s="3120"/>
      <c r="S1" s="3120"/>
      <c r="T1" s="3120"/>
      <c r="U1" s="3120"/>
      <c r="V1" s="3120"/>
      <c r="W1" s="3120"/>
      <c r="X1" s="3120"/>
      <c r="Y1" s="3120"/>
      <c r="Z1" s="3120"/>
    </row>
    <row r="2" spans="1:26">
      <c r="N2" s="3121" t="s">
        <v>1439</v>
      </c>
      <c r="O2" s="3121"/>
      <c r="P2" s="3121"/>
      <c r="Q2" s="3121"/>
      <c r="R2" s="3121"/>
      <c r="S2" s="3121"/>
      <c r="T2" s="3121"/>
      <c r="U2" s="3121"/>
      <c r="V2" s="3121"/>
      <c r="W2" s="3121"/>
      <c r="X2" s="3121"/>
      <c r="Y2" s="3121"/>
      <c r="Z2" s="3121"/>
    </row>
    <row r="3" spans="1:26">
      <c r="N3" s="3122" t="s">
        <v>1440</v>
      </c>
      <c r="O3" s="3122"/>
      <c r="P3" s="3122"/>
      <c r="Q3" s="3122"/>
      <c r="R3" s="3122"/>
      <c r="S3" s="3122"/>
      <c r="T3" s="3122"/>
      <c r="U3" s="3122"/>
      <c r="V3" s="3122"/>
      <c r="W3" s="3122"/>
      <c r="X3" s="3122"/>
      <c r="Y3" s="3122"/>
      <c r="Z3" s="3122"/>
    </row>
    <row r="4" spans="1:26" ht="16.5">
      <c r="B4" s="3123"/>
      <c r="C4" s="3123"/>
      <c r="D4" s="3123"/>
      <c r="E4" s="3123"/>
      <c r="F4" s="3123"/>
      <c r="G4" s="3123"/>
      <c r="H4" s="3123"/>
      <c r="I4" s="3123"/>
      <c r="J4" s="3123"/>
      <c r="K4" s="3123"/>
      <c r="L4" s="3123"/>
      <c r="M4" s="3123"/>
      <c r="N4" s="3124" t="s">
        <v>672</v>
      </c>
    </row>
    <row r="5" spans="1:26" ht="59.25" customHeight="1">
      <c r="A5" s="4752" t="s">
        <v>2582</v>
      </c>
      <c r="B5" s="4752"/>
      <c r="C5" s="4752"/>
      <c r="D5" s="4752"/>
      <c r="E5" s="4752"/>
      <c r="F5" s="4752"/>
      <c r="G5" s="4752"/>
      <c r="H5" s="4752"/>
      <c r="I5" s="4752"/>
      <c r="J5" s="4752"/>
      <c r="K5" s="4752"/>
      <c r="L5" s="4752"/>
      <c r="M5" s="4752"/>
    </row>
    <row r="6" spans="1:26" ht="11.45" customHeight="1">
      <c r="A6" s="3123"/>
      <c r="B6" s="3123"/>
      <c r="C6" s="3123"/>
      <c r="D6" s="3123"/>
      <c r="E6" s="3123"/>
      <c r="F6" s="3123"/>
      <c r="G6" s="3123"/>
      <c r="H6" s="3123"/>
      <c r="I6" s="3123"/>
      <c r="J6" s="3123"/>
      <c r="K6" s="3123"/>
      <c r="L6" s="3123"/>
      <c r="M6" s="3123"/>
    </row>
    <row r="7" spans="1:26" ht="16.5">
      <c r="A7" s="3123" t="s">
        <v>677</v>
      </c>
      <c r="B7" s="3123"/>
      <c r="C7" s="3123"/>
      <c r="D7" s="3123"/>
      <c r="E7" s="3123"/>
      <c r="F7" s="3123"/>
      <c r="G7" s="3123"/>
      <c r="H7" s="3123"/>
      <c r="I7" s="3123"/>
      <c r="J7" s="3123"/>
      <c r="K7" s="3123"/>
      <c r="L7" s="3123"/>
      <c r="M7" s="3123"/>
    </row>
    <row r="8" spans="1:26" ht="11.45" customHeight="1">
      <c r="A8" s="3123"/>
      <c r="B8" s="3123"/>
      <c r="C8" s="3123"/>
      <c r="D8" s="3123"/>
      <c r="E8" s="3123"/>
      <c r="F8" s="3123"/>
      <c r="G8" s="3123"/>
      <c r="H8" s="3123"/>
      <c r="I8" s="3123"/>
      <c r="J8" s="3123"/>
      <c r="K8" s="3123"/>
      <c r="L8" s="3123"/>
      <c r="M8" s="3123"/>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6428</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5" t="s">
        <v>1658</v>
      </c>
      <c r="B13" s="4755" t="s">
        <v>3314</v>
      </c>
      <c r="C13" s="4755"/>
      <c r="D13" s="4755"/>
      <c r="E13" s="4755"/>
      <c r="F13" s="4755"/>
      <c r="G13" s="4755"/>
      <c r="H13" s="4755"/>
      <c r="I13" s="4755"/>
      <c r="J13" s="4755"/>
      <c r="K13" s="4755"/>
      <c r="L13" s="4755"/>
      <c r="M13" s="4755"/>
      <c r="U13" s="3119" t="s">
        <v>6574</v>
      </c>
    </row>
    <row r="14" spans="1:26" ht="47.25" customHeight="1">
      <c r="A14" s="3125" t="s">
        <v>1659</v>
      </c>
      <c r="B14" s="4755" t="s">
        <v>3315</v>
      </c>
      <c r="C14" s="4755"/>
      <c r="D14" s="4755"/>
      <c r="E14" s="4755"/>
      <c r="F14" s="4755"/>
      <c r="G14" s="4755"/>
      <c r="H14" s="4755"/>
      <c r="I14" s="4755"/>
      <c r="J14" s="4755"/>
      <c r="K14" s="4755"/>
      <c r="L14" s="4755"/>
      <c r="M14" s="4755"/>
    </row>
    <row r="15" spans="1:26" ht="117" customHeight="1">
      <c r="A15" s="3125" t="s">
        <v>1660</v>
      </c>
      <c r="B15" s="4755" t="s">
        <v>3316</v>
      </c>
      <c r="C15" s="4755"/>
      <c r="D15" s="4755"/>
      <c r="E15" s="4755"/>
      <c r="F15" s="4755"/>
      <c r="G15" s="4755"/>
      <c r="H15" s="4755"/>
      <c r="I15" s="4755"/>
      <c r="J15" s="4755"/>
      <c r="K15" s="4755"/>
      <c r="L15" s="4755"/>
      <c r="M15" s="4755"/>
    </row>
    <row r="16" spans="1:26" ht="147" customHeight="1">
      <c r="A16" s="3125" t="s">
        <v>2260</v>
      </c>
      <c r="B16" s="4755" t="s">
        <v>3190</v>
      </c>
      <c r="C16" s="4755"/>
      <c r="D16" s="4755"/>
      <c r="E16" s="4755"/>
      <c r="F16" s="4755"/>
      <c r="G16" s="4755"/>
      <c r="H16" s="4755"/>
      <c r="I16" s="4755"/>
      <c r="J16" s="4755"/>
      <c r="K16" s="4755"/>
      <c r="L16" s="4755"/>
      <c r="M16" s="4755"/>
    </row>
    <row r="17" spans="1:13" ht="48.75" customHeight="1">
      <c r="A17" s="3125" t="s">
        <v>1487</v>
      </c>
      <c r="B17" s="4755" t="s">
        <v>653</v>
      </c>
      <c r="C17" s="4755"/>
      <c r="D17" s="4755"/>
      <c r="E17" s="4755"/>
      <c r="F17" s="4755"/>
      <c r="G17" s="4755"/>
      <c r="H17" s="4755"/>
      <c r="I17" s="4755"/>
      <c r="J17" s="4755"/>
      <c r="K17" s="4755"/>
      <c r="L17" s="4755"/>
      <c r="M17" s="4755"/>
    </row>
    <row r="18" spans="1:13" ht="165" customHeight="1">
      <c r="A18" s="3125" t="s">
        <v>1488</v>
      </c>
      <c r="B18" s="4755" t="s">
        <v>3189</v>
      </c>
      <c r="C18" s="4755"/>
      <c r="D18" s="4755"/>
      <c r="E18" s="4755"/>
      <c r="F18" s="4755"/>
      <c r="G18" s="4755"/>
      <c r="H18" s="4755"/>
      <c r="I18" s="4755"/>
      <c r="J18" s="4755"/>
      <c r="K18" s="4755"/>
      <c r="L18" s="4755"/>
      <c r="M18" s="4755"/>
    </row>
    <row r="19" spans="1:13" ht="48.75" customHeight="1">
      <c r="A19" s="3125" t="s">
        <v>92</v>
      </c>
      <c r="B19" s="4751" t="s">
        <v>3317</v>
      </c>
      <c r="C19" s="4751"/>
      <c r="D19" s="4751"/>
      <c r="E19" s="4751"/>
      <c r="F19" s="4751"/>
      <c r="G19" s="4751"/>
      <c r="H19" s="4751"/>
      <c r="I19" s="4751"/>
      <c r="J19" s="4751"/>
      <c r="K19" s="4751"/>
      <c r="L19" s="4751"/>
      <c r="M19" s="4751"/>
    </row>
    <row r="20" spans="1:13" ht="50.25" customHeight="1">
      <c r="A20" s="3125" t="s">
        <v>489</v>
      </c>
      <c r="B20" s="4755" t="s">
        <v>3191</v>
      </c>
      <c r="C20" s="4755"/>
      <c r="D20" s="4755"/>
      <c r="E20" s="4755"/>
      <c r="F20" s="4755"/>
      <c r="G20" s="4755"/>
      <c r="H20" s="4755"/>
      <c r="I20" s="4755"/>
      <c r="J20" s="4755"/>
      <c r="K20" s="4755"/>
      <c r="L20" s="4755"/>
      <c r="M20" s="4755"/>
    </row>
    <row r="21" spans="1:13" ht="31.5" customHeight="1">
      <c r="A21" s="3125" t="s">
        <v>490</v>
      </c>
      <c r="B21" s="4755" t="s">
        <v>3208</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5" t="s">
        <v>1409</v>
      </c>
      <c r="B25" s="4755" t="s">
        <v>3209</v>
      </c>
      <c r="C25" s="4755"/>
      <c r="D25" s="4755"/>
      <c r="E25" s="4755"/>
      <c r="F25" s="4755"/>
      <c r="G25" s="4755"/>
      <c r="H25" s="4755"/>
      <c r="I25" s="4755"/>
      <c r="J25" s="4755"/>
      <c r="K25" s="4755"/>
      <c r="L25" s="4755"/>
      <c r="M25" s="4755"/>
    </row>
    <row r="26" spans="1:13" ht="31.5" customHeight="1">
      <c r="A26" s="3125" t="s">
        <v>1409</v>
      </c>
      <c r="B26" s="4755" t="s">
        <v>3210</v>
      </c>
      <c r="C26" s="4755"/>
      <c r="D26" s="4755"/>
      <c r="E26" s="4755"/>
      <c r="F26" s="4755"/>
      <c r="G26" s="4755"/>
      <c r="H26" s="4755"/>
      <c r="I26" s="4755"/>
      <c r="J26" s="4755"/>
      <c r="K26" s="4755"/>
      <c r="L26" s="4755"/>
      <c r="M26" s="4755"/>
    </row>
    <row r="27" spans="1:13" ht="78.75" customHeight="1">
      <c r="A27" s="3125"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6"/>
      <c r="B34" s="3126"/>
      <c r="C34" s="3126"/>
      <c r="D34" s="3126"/>
      <c r="E34" s="3126"/>
      <c r="F34" s="3126"/>
      <c r="G34" s="3126"/>
      <c r="H34" s="3126"/>
      <c r="I34" s="3126"/>
      <c r="J34" s="3126"/>
      <c r="K34" s="3126"/>
      <c r="L34" s="3126"/>
      <c r="M34" s="3126"/>
    </row>
    <row r="35" spans="1:13" ht="16.5">
      <c r="A35" s="4756" t="s">
        <v>6885</v>
      </c>
      <c r="B35" s="4756"/>
      <c r="C35" s="4756"/>
      <c r="D35" s="4756"/>
      <c r="E35" s="4756"/>
      <c r="F35" s="4756"/>
      <c r="G35" s="3127"/>
      <c r="H35" s="4756" t="s">
        <v>6852</v>
      </c>
      <c r="I35" s="4756"/>
      <c r="J35" s="4756"/>
      <c r="K35" s="4756"/>
      <c r="L35" s="4756"/>
      <c r="M35" s="4756"/>
    </row>
    <row r="36" spans="1:13" ht="12" customHeight="1">
      <c r="A36" s="4757" t="s">
        <v>889</v>
      </c>
      <c r="B36" s="4757"/>
      <c r="C36" s="4757"/>
      <c r="D36" s="4757"/>
      <c r="E36" s="4757"/>
      <c r="F36" s="4757"/>
      <c r="G36" s="3127"/>
      <c r="H36" s="4757" t="s">
        <v>1890</v>
      </c>
      <c r="I36" s="4757"/>
      <c r="J36" s="4757"/>
      <c r="K36" s="4757"/>
      <c r="L36" s="4757"/>
      <c r="M36" s="4757"/>
    </row>
    <row r="37" spans="1:13" ht="6" customHeight="1">
      <c r="A37" s="3127"/>
      <c r="B37" s="3127"/>
      <c r="C37" s="3127"/>
      <c r="D37" s="3127"/>
      <c r="E37" s="3127"/>
      <c r="F37" s="3127"/>
      <c r="G37" s="3127"/>
      <c r="H37" s="3127"/>
      <c r="I37" s="3127"/>
      <c r="J37" s="3127"/>
      <c r="K37" s="3127"/>
      <c r="L37" s="3127"/>
      <c r="M37" s="3127"/>
    </row>
    <row r="38" spans="1:13" ht="16.5">
      <c r="A38" s="4756"/>
      <c r="B38" s="4756"/>
      <c r="C38" s="4756"/>
      <c r="D38" s="4756"/>
      <c r="E38" s="4756"/>
      <c r="F38" s="4756"/>
      <c r="G38" s="3127"/>
      <c r="H38" s="4758"/>
      <c r="I38" s="4758"/>
      <c r="J38" s="4758"/>
      <c r="K38" s="4758"/>
      <c r="L38" s="4758"/>
      <c r="M38" s="4758"/>
    </row>
    <row r="39" spans="1:13" ht="12" customHeight="1">
      <c r="A39" s="4757" t="s">
        <v>890</v>
      </c>
      <c r="B39" s="4757"/>
      <c r="C39" s="4757"/>
      <c r="D39" s="4757"/>
      <c r="E39" s="4757"/>
      <c r="F39" s="4757"/>
      <c r="G39" s="3127"/>
      <c r="H39" s="4757" t="s">
        <v>891</v>
      </c>
      <c r="I39" s="4757"/>
      <c r="J39" s="4757"/>
      <c r="K39" s="4757"/>
      <c r="L39" s="4757"/>
      <c r="M39" s="4757"/>
    </row>
    <row r="40" spans="1:13" ht="3" customHeight="1">
      <c r="A40" s="3128"/>
      <c r="B40" s="3128"/>
      <c r="C40" s="3128"/>
      <c r="D40" s="3128"/>
      <c r="E40" s="3128"/>
      <c r="F40" s="3128"/>
      <c r="G40" s="3127"/>
      <c r="H40" s="3128"/>
      <c r="I40" s="3128"/>
      <c r="J40" s="3128"/>
      <c r="K40" s="3128"/>
      <c r="L40" s="3128"/>
      <c r="M40" s="3128"/>
    </row>
    <row r="41" spans="1:13" ht="11.45" customHeight="1">
      <c r="A41" s="3123"/>
      <c r="B41" s="3123"/>
      <c r="C41" s="3123"/>
      <c r="D41" s="3123"/>
      <c r="E41" s="3123"/>
      <c r="F41" s="3123"/>
      <c r="G41" s="3123"/>
      <c r="H41" s="4759" t="s">
        <v>892</v>
      </c>
      <c r="I41" s="4759"/>
      <c r="J41" s="4759"/>
      <c r="K41" s="4759"/>
      <c r="L41" s="4759"/>
      <c r="M41" s="4759"/>
    </row>
    <row r="42" spans="1:13" ht="11.45" customHeight="1">
      <c r="A42" s="3123"/>
      <c r="B42" s="3123"/>
      <c r="C42" s="3123"/>
      <c r="D42" s="3123"/>
      <c r="E42" s="3123"/>
      <c r="F42" s="3123"/>
      <c r="G42" s="3123"/>
    </row>
    <row r="43" spans="1:13" ht="11.45" customHeight="1">
      <c r="A43" s="3123"/>
      <c r="B43" s="3123"/>
      <c r="C43" s="3123"/>
      <c r="D43" s="3123"/>
      <c r="E43" s="3123"/>
      <c r="F43" s="3123"/>
      <c r="G43" s="3123"/>
      <c r="H43" s="3123"/>
      <c r="I43" s="3123"/>
      <c r="J43" s="3123"/>
      <c r="K43" s="3123"/>
      <c r="L43" s="3123"/>
      <c r="M43" s="3123"/>
    </row>
    <row r="44" spans="1:13" ht="11.45" customHeight="1">
      <c r="A44" s="3123"/>
      <c r="B44" s="3123"/>
      <c r="C44" s="3123"/>
      <c r="D44" s="3123"/>
      <c r="E44" s="3123"/>
      <c r="F44" s="3123"/>
      <c r="G44" s="3123"/>
      <c r="H44" s="3123"/>
      <c r="I44" s="3123"/>
      <c r="J44" s="3123"/>
      <c r="K44" s="3123"/>
      <c r="L44" s="3123"/>
      <c r="M44" s="3123"/>
    </row>
    <row r="45" spans="1:13" ht="11.45" customHeight="1"/>
    <row r="46" spans="1:13" ht="11.45" customHeight="1"/>
    <row r="47" spans="1:13" ht="11.45" customHeight="1"/>
    <row r="48" spans="1:13" ht="11.45" customHeight="1"/>
    <row r="49" ht="11.45" customHeight="1"/>
  </sheetData>
  <sheetProtection algorithmName="SHA-512" hashValue="pBLSnd7dC8Bc6vnQG0bDWhug1oCHMDVqsEmVbC0AW2vBwbjSsvIXciWuvZnzinqdgNqkuSZ40YooGKseV1QZ4A==" saltValue="iRFMxJP0A5CBq/ApyTQ2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6"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3262</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2561</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3119</v>
      </c>
      <c r="G20" s="4768"/>
      <c r="H20" s="4768"/>
      <c r="I20" s="4768"/>
      <c r="J20" s="4769"/>
      <c r="K20" s="277"/>
      <c r="L20" s="516" t="s">
        <v>3262</v>
      </c>
      <c r="M20" s="277"/>
      <c r="N20" s="4767" t="s">
        <v>3119</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3457</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3458</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3458</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3459</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3459</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3459</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3466</v>
      </c>
      <c r="G84" s="168"/>
      <c r="H84" s="166"/>
      <c r="I84" s="166"/>
      <c r="J84" s="170" t="s">
        <v>3462</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3463</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3464</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3465</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3460</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3436</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3564</v>
      </c>
      <c r="I101" s="166"/>
      <c r="J101" s="168" t="s">
        <v>3937</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3445</v>
      </c>
      <c r="I144" s="166"/>
      <c r="J144" s="168" t="s">
        <v>3446</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3447</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3447</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3456</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5" t="s">
        <v>6320</v>
      </c>
      <c r="R150" s="4795"/>
    </row>
    <row r="151" spans="1:28" ht="11.25" customHeight="1">
      <c r="F151" s="168" t="s">
        <v>2479</v>
      </c>
      <c r="G151" s="168"/>
      <c r="H151" s="168" t="s">
        <v>6319</v>
      </c>
      <c r="I151" s="166"/>
      <c r="J151" s="4779">
        <v>0.35</v>
      </c>
      <c r="K151" s="4779"/>
      <c r="L151" s="168"/>
      <c r="M151" s="168"/>
      <c r="N151" s="168"/>
      <c r="O151" s="168"/>
      <c r="P151" s="166"/>
      <c r="Q151" s="4781">
        <v>900000</v>
      </c>
      <c r="R151" s="4781"/>
    </row>
    <row r="152" spans="1:28" ht="11.25" customHeight="1">
      <c r="A152" s="272"/>
      <c r="F152" s="168" t="s">
        <v>6318</v>
      </c>
      <c r="G152" s="168"/>
      <c r="H152" s="168" t="s">
        <v>6319</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6319</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3553</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3441</v>
      </c>
      <c r="O173" s="502" t="s">
        <v>3644</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3645</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3646</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3647</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3648</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3649</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3650</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3651</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3652</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3653</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3654</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3655</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3656</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3657</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3658</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3659</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3660</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3661</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3662</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3663</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3664</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3665</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3666</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3667</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3668</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3669</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3670</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3671</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3672</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3673</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3674</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3675</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3676</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3677</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3678</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3679</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3680</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3681</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3682</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3683</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3684</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3685</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3686</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3687</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3688</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3689</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3690</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3691</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3692</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3693</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3694</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3695</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3696</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3697</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3698</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3699</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3700</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3701</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3702</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3703</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3704</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3705</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3706</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3707</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3708</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3709</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3710</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3711</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3712</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3713</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3714</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3715</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3716</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3717</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3718</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3719</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3720</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3721</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3722</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3723</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3724</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3725</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3726</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3727</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3728</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3729</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3730</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3731</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3732</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3733</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3734</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3735</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3736</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3737</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3738</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3739</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3740</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3741</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3742</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3743</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3744</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3745</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3746</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3747</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3748</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3749</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3750</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3751</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3752</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3753</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3754</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3755</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3756</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3757</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3758</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3759</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3760</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3761</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3762</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3763</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3764</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3765</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3766</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3767</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3768</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3769</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3770</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3771</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3772</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3773</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3774</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3775</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3776</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3777</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3778</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3779</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3780</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3781</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3782</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3783</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3784</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3785</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3786</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3787</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3788</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3789</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3790</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3791</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3792</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3793</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3794</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3795</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3796</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3797</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3798</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3799</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3800</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3801</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3802</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3803</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3804</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8">
        <v>2019</v>
      </c>
      <c r="D335" s="4789"/>
      <c r="E335" s="4789"/>
      <c r="F335" s="4789"/>
      <c r="G335" s="4788">
        <v>2020</v>
      </c>
      <c r="H335" s="4788"/>
      <c r="I335" s="4788"/>
      <c r="J335" s="4788"/>
      <c r="K335"/>
      <c r="L335" s="4790" t="s">
        <v>4262</v>
      </c>
      <c r="M335" s="4791"/>
      <c r="N335" s="4791"/>
      <c r="O335" s="4792"/>
      <c r="P335" s="504" t="s">
        <v>762</v>
      </c>
      <c r="Q335" s="287"/>
      <c r="R335" s="168"/>
      <c r="S335" s="380"/>
      <c r="T335" s="505" t="s">
        <v>659</v>
      </c>
      <c r="U335" s="505" t="s">
        <v>2082</v>
      </c>
      <c r="W335" s="418" t="s">
        <v>1395</v>
      </c>
      <c r="X335" s="418" t="s">
        <v>3138</v>
      </c>
      <c r="AA335" s="27"/>
      <c r="AB335" s="27"/>
      <c r="AC335" s="809"/>
      <c r="AD335" s="481"/>
    </row>
    <row r="336" spans="3:30" ht="10.5" customHeight="1">
      <c r="C336" s="4793" t="s">
        <v>4162</v>
      </c>
      <c r="D336" s="4794" t="s">
        <v>4163</v>
      </c>
      <c r="E336" s="4794" t="s">
        <v>4164</v>
      </c>
      <c r="F336" s="4794" t="s">
        <v>4165</v>
      </c>
      <c r="G336" s="4793" t="s">
        <v>4162</v>
      </c>
      <c r="H336" s="4794" t="s">
        <v>4163</v>
      </c>
      <c r="I336" s="4794" t="s">
        <v>4164</v>
      </c>
      <c r="J336" s="4794" t="s">
        <v>4165</v>
      </c>
      <c r="K336"/>
      <c r="L336" s="4793" t="s">
        <v>4162</v>
      </c>
      <c r="M336" s="4794" t="s">
        <v>4163</v>
      </c>
      <c r="N336" s="4794" t="s">
        <v>4164</v>
      </c>
      <c r="O336" s="4794"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3138</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3138</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3138</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3138</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1846</v>
      </c>
      <c r="Q367" s="287"/>
      <c r="R367" s="168"/>
      <c r="S367" s="380"/>
      <c r="T367" s="505" t="s">
        <v>3939</v>
      </c>
      <c r="U367" s="505" t="s">
        <v>634</v>
      </c>
      <c r="W367" s="418" t="s">
        <v>2399</v>
      </c>
      <c r="X367" s="418" t="s">
        <v>3138</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3491</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1815</v>
      </c>
      <c r="Q695" s="287"/>
      <c r="R695" s="168"/>
      <c r="S695" s="380"/>
      <c r="T695" s="473" t="s">
        <v>3940</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1881</v>
      </c>
      <c r="Q708" s="287"/>
      <c r="R708" s="168"/>
      <c r="S708" s="380"/>
      <c r="T708" s="473" t="s">
        <v>3941</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heetProtection algorithmName="SHA-512" hashValue="Kf/hqJodKmLUsvOHenXHNNLMy5C5uf8J+lphV3cmzgkapcUDhiNCuKlmycHRRrjaR+f6EWuDFow0XfQ1f7D/7A==" saltValue="HEwlqijOAP9X0MaaesCoo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20" zoomScaleNormal="12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2021-018 Roswell Redevelopment Phase I, Roswell, Fulton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3612</v>
      </c>
      <c r="O4" s="3395" t="str">
        <f>'Part I-Project Information'!$B$7</f>
        <v>2021 Core App
May 10 Rev</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6884</v>
      </c>
      <c r="I6" s="3385"/>
      <c r="J6" s="3385"/>
      <c r="K6" s="3385"/>
      <c r="L6" s="3385"/>
      <c r="M6" s="3385"/>
      <c r="N6" s="3386"/>
      <c r="O6" s="2620" t="s">
        <v>1899</v>
      </c>
      <c r="P6" s="2620"/>
      <c r="Q6" s="3384" t="s">
        <v>6885</v>
      </c>
      <c r="R6" s="3385"/>
      <c r="S6" s="3386"/>
      <c r="Y6" s="922"/>
      <c r="Z6" s="1773">
        <v>6</v>
      </c>
      <c r="AA6" s="2628"/>
    </row>
    <row r="7" spans="1:27" s="289" customFormat="1" ht="11.25" customHeight="1">
      <c r="D7" s="326"/>
      <c r="E7" s="2621" t="s">
        <v>982</v>
      </c>
      <c r="F7" s="301"/>
      <c r="H7" s="3145" t="s">
        <v>6853</v>
      </c>
      <c r="I7" s="3388"/>
      <c r="J7" s="3388"/>
      <c r="K7" s="3389"/>
      <c r="L7" s="3388"/>
      <c r="M7" s="3388"/>
      <c r="N7" s="3390"/>
      <c r="O7" s="2620" t="s">
        <v>1668</v>
      </c>
      <c r="Q7" s="3167" t="s">
        <v>6886</v>
      </c>
      <c r="R7" s="3247"/>
      <c r="S7" s="3248"/>
      <c r="V7" s="922"/>
      <c r="W7" s="922"/>
      <c r="X7" s="922"/>
      <c r="Y7" s="922"/>
      <c r="Z7" s="1773">
        <v>7</v>
      </c>
      <c r="AA7" s="2628"/>
    </row>
    <row r="8" spans="1:27" s="289" customFormat="1" ht="11.25" customHeight="1">
      <c r="D8" s="326"/>
      <c r="E8" s="2621" t="s">
        <v>588</v>
      </c>
      <c r="H8" s="3145" t="s">
        <v>1195</v>
      </c>
      <c r="I8" s="3389"/>
      <c r="J8" s="3260"/>
      <c r="K8" s="2755" t="s">
        <v>732</v>
      </c>
      <c r="L8" s="3170"/>
      <c r="M8" s="3388"/>
      <c r="N8" s="3390"/>
      <c r="O8" s="2620" t="s">
        <v>1644</v>
      </c>
      <c r="Q8" s="3360">
        <v>2673868668</v>
      </c>
      <c r="R8" s="3361"/>
      <c r="S8" s="3362"/>
      <c r="Z8" s="1773">
        <v>8</v>
      </c>
    </row>
    <row r="9" spans="1:27" s="289" customFormat="1" ht="11.25" customHeight="1">
      <c r="D9" s="326"/>
      <c r="E9" s="2621" t="s">
        <v>1717</v>
      </c>
      <c r="H9" s="2694" t="s">
        <v>1305</v>
      </c>
      <c r="I9" s="916" t="s">
        <v>2128</v>
      </c>
      <c r="J9" s="3378">
        <v>187043636</v>
      </c>
      <c r="K9" s="3379"/>
      <c r="L9" s="289" t="s">
        <v>3322</v>
      </c>
      <c r="M9" s="3380" t="s">
        <v>6887</v>
      </c>
      <c r="N9" s="3381"/>
      <c r="O9" s="2620" t="s">
        <v>1889</v>
      </c>
      <c r="Q9" s="3360"/>
      <c r="R9" s="3361"/>
      <c r="S9" s="3362"/>
      <c r="Z9" s="1773">
        <v>9</v>
      </c>
    </row>
    <row r="10" spans="1:27" s="289" customFormat="1" ht="11.25" customHeight="1">
      <c r="D10" s="326"/>
      <c r="E10" s="2621" t="s">
        <v>3613</v>
      </c>
      <c r="H10" s="3382">
        <v>2673868600</v>
      </c>
      <c r="I10" s="3383"/>
      <c r="J10" s="2756"/>
      <c r="K10" s="2629" t="s">
        <v>1894</v>
      </c>
      <c r="L10" s="3176" t="s">
        <v>6854</v>
      </c>
      <c r="M10" s="3257"/>
      <c r="N10" s="3257"/>
      <c r="O10" s="3177"/>
      <c r="P10" s="3177"/>
      <c r="Q10" s="3257"/>
      <c r="R10" s="3257"/>
      <c r="S10" s="3258"/>
      <c r="Z10" s="1773">
        <v>10</v>
      </c>
    </row>
    <row r="11" spans="1:27" s="289" customFormat="1" ht="11.25" customHeight="1">
      <c r="D11" s="326"/>
      <c r="E11" s="1053" t="s">
        <v>3612</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7" t="s">
        <v>1236</v>
      </c>
      <c r="W13" s="2757"/>
      <c r="X13" s="2757"/>
      <c r="Y13" s="2757"/>
      <c r="Z13" s="1773">
        <v>13</v>
      </c>
    </row>
    <row r="14" spans="1:27" s="289" customFormat="1" ht="11.25" customHeight="1">
      <c r="C14" s="328" t="s">
        <v>1896</v>
      </c>
      <c r="D14" s="325" t="s">
        <v>1897</v>
      </c>
      <c r="H14" s="2628"/>
      <c r="I14" s="2628"/>
      <c r="J14" s="2628"/>
      <c r="N14" s="926"/>
      <c r="W14" s="2758"/>
      <c r="X14" s="2758"/>
      <c r="Y14" s="2758"/>
      <c r="Z14" s="1773">
        <v>14</v>
      </c>
    </row>
    <row r="15" spans="1:27" s="289" customFormat="1" ht="11.25" customHeight="1">
      <c r="D15" s="291" t="s">
        <v>2022</v>
      </c>
      <c r="E15" s="289" t="s">
        <v>1770</v>
      </c>
      <c r="H15" s="3384" t="s">
        <v>6870</v>
      </c>
      <c r="I15" s="3385"/>
      <c r="J15" s="3385"/>
      <c r="K15" s="3385"/>
      <c r="L15" s="3385"/>
      <c r="M15" s="3385"/>
      <c r="N15" s="3386"/>
      <c r="O15" s="2620" t="s">
        <v>1899</v>
      </c>
      <c r="P15" s="2620"/>
      <c r="Q15" s="3384" t="s">
        <v>6885</v>
      </c>
      <c r="R15" s="3385"/>
      <c r="S15" s="3386"/>
      <c r="Z15" s="1773">
        <v>15</v>
      </c>
    </row>
    <row r="16" spans="1:27" s="289" customFormat="1" ht="11.25" customHeight="1">
      <c r="D16" s="326"/>
      <c r="E16" s="2621" t="s">
        <v>982</v>
      </c>
      <c r="F16" s="301"/>
      <c r="H16" s="3145" t="s">
        <v>6853</v>
      </c>
      <c r="I16" s="3388"/>
      <c r="J16" s="3388"/>
      <c r="K16" s="3389"/>
      <c r="L16" s="3388"/>
      <c r="M16" s="3388"/>
      <c r="N16" s="3390"/>
      <c r="O16" s="2620" t="s">
        <v>1668</v>
      </c>
      <c r="Q16" s="3167" t="s">
        <v>6886</v>
      </c>
      <c r="R16" s="3247"/>
      <c r="S16" s="3248"/>
      <c r="Z16" s="1773">
        <v>16</v>
      </c>
    </row>
    <row r="17" spans="4:26" s="289" customFormat="1" ht="11.25" customHeight="1">
      <c r="D17" s="326"/>
      <c r="E17" s="2621" t="s">
        <v>588</v>
      </c>
      <c r="H17" s="3145" t="s">
        <v>1195</v>
      </c>
      <c r="I17" s="3389"/>
      <c r="J17" s="3260"/>
      <c r="K17" s="2623" t="s">
        <v>2553</v>
      </c>
      <c r="L17" s="3145" t="s">
        <v>6888</v>
      </c>
      <c r="M17" s="3388"/>
      <c r="N17" s="3260"/>
      <c r="O17" s="2620" t="s">
        <v>1644</v>
      </c>
      <c r="Q17" s="3360">
        <v>2673868668</v>
      </c>
      <c r="R17" s="3361"/>
      <c r="S17" s="3362"/>
      <c r="Z17" s="1773">
        <v>17</v>
      </c>
    </row>
    <row r="18" spans="4:26" s="289" customFormat="1" ht="11.25" customHeight="1">
      <c r="D18" s="291"/>
      <c r="E18" s="2621" t="s">
        <v>1717</v>
      </c>
      <c r="H18" s="2694" t="s">
        <v>1305</v>
      </c>
      <c r="K18" s="916" t="s">
        <v>2128</v>
      </c>
      <c r="L18" s="3155">
        <v>187043636</v>
      </c>
      <c r="M18" s="3391"/>
      <c r="O18" s="2620" t="s">
        <v>1889</v>
      </c>
      <c r="Q18" s="3360"/>
      <c r="R18" s="3361"/>
      <c r="S18" s="3362"/>
      <c r="Z18" s="1773">
        <v>18</v>
      </c>
    </row>
    <row r="19" spans="4:26" s="289" customFormat="1" ht="11.25" customHeight="1">
      <c r="D19" s="326"/>
      <c r="E19" s="2621" t="s">
        <v>3613</v>
      </c>
      <c r="H19" s="3382">
        <v>2673868600</v>
      </c>
      <c r="I19" s="3387"/>
      <c r="J19" s="2759"/>
      <c r="K19" s="2629" t="s">
        <v>1894</v>
      </c>
      <c r="L19" s="3367" t="s">
        <v>6854</v>
      </c>
      <c r="M19" s="3257"/>
      <c r="N19" s="3177"/>
      <c r="O19" s="3177"/>
      <c r="P19" s="3177"/>
      <c r="Q19" s="3257"/>
      <c r="R19" s="3257"/>
      <c r="S19" s="3258"/>
      <c r="Z19" s="1773">
        <v>19</v>
      </c>
    </row>
    <row r="20" spans="4:26" ht="4.3499999999999996" customHeight="1">
      <c r="D20" s="315"/>
      <c r="H20" s="2760"/>
      <c r="I20" s="2760"/>
      <c r="J20" s="2760"/>
      <c r="K20" s="2629"/>
      <c r="L20" s="2760"/>
      <c r="M20" s="2760"/>
      <c r="N20" s="2618"/>
      <c r="O20" s="2761"/>
      <c r="P20" s="2761"/>
      <c r="Q20" s="2629"/>
      <c r="R20" s="2761"/>
      <c r="S20" s="2761"/>
      <c r="Z20" s="1773">
        <v>20</v>
      </c>
    </row>
    <row r="21" spans="4:26" s="289" customFormat="1" ht="11.25" customHeight="1">
      <c r="D21" s="291" t="s">
        <v>2023</v>
      </c>
      <c r="E21" s="289" t="s">
        <v>1771</v>
      </c>
      <c r="F21" s="2628"/>
      <c r="H21" s="3384" t="s">
        <v>375</v>
      </c>
      <c r="I21" s="3385"/>
      <c r="J21" s="3385"/>
      <c r="K21" s="3385"/>
      <c r="L21" s="3385"/>
      <c r="M21" s="3385"/>
      <c r="N21" s="3386"/>
      <c r="O21" s="2620" t="s">
        <v>1899</v>
      </c>
      <c r="P21" s="2620"/>
      <c r="Q21" s="3384" t="s">
        <v>6878</v>
      </c>
      <c r="R21" s="3385"/>
      <c r="S21" s="3386"/>
      <c r="Z21" s="1773">
        <v>21</v>
      </c>
    </row>
    <row r="22" spans="4:26" s="289" customFormat="1" ht="11.25" customHeight="1">
      <c r="D22" s="326"/>
      <c r="E22" s="2621" t="s">
        <v>982</v>
      </c>
      <c r="F22" s="301"/>
      <c r="H22" s="3145" t="s">
        <v>6877</v>
      </c>
      <c r="I22" s="3388"/>
      <c r="J22" s="3388"/>
      <c r="K22" s="3389"/>
      <c r="L22" s="3388"/>
      <c r="M22" s="3388"/>
      <c r="N22" s="3390"/>
      <c r="O22" s="2620" t="s">
        <v>1668</v>
      </c>
      <c r="Q22" s="3167" t="s">
        <v>6879</v>
      </c>
      <c r="R22" s="3247"/>
      <c r="S22" s="3248"/>
      <c r="Z22" s="1773">
        <v>22</v>
      </c>
    </row>
    <row r="23" spans="4:26" s="289" customFormat="1" ht="11.25" customHeight="1">
      <c r="D23" s="326"/>
      <c r="E23" s="2621" t="s">
        <v>588</v>
      </c>
      <c r="H23" s="3145" t="s">
        <v>2070</v>
      </c>
      <c r="I23" s="3389"/>
      <c r="J23" s="3260"/>
      <c r="K23" s="2623" t="s">
        <v>2553</v>
      </c>
      <c r="L23" s="3145" t="s">
        <v>6880</v>
      </c>
      <c r="M23" s="3388"/>
      <c r="N23" s="3260"/>
      <c r="O23" s="2620" t="s">
        <v>1644</v>
      </c>
      <c r="Q23" s="3150">
        <v>7709936226</v>
      </c>
      <c r="R23" s="3359"/>
      <c r="S23" s="3151"/>
      <c r="Z23" s="1773">
        <v>23</v>
      </c>
    </row>
    <row r="24" spans="4:26" s="289" customFormat="1" ht="11.25" customHeight="1">
      <c r="E24" s="2621" t="s">
        <v>1717</v>
      </c>
      <c r="H24" s="2694" t="s">
        <v>815</v>
      </c>
      <c r="K24" s="916" t="s">
        <v>2128</v>
      </c>
      <c r="L24" s="3155">
        <v>300756500</v>
      </c>
      <c r="M24" s="3391"/>
      <c r="O24" s="2620" t="s">
        <v>1889</v>
      </c>
      <c r="Q24" s="3360">
        <v>4044317189</v>
      </c>
      <c r="R24" s="3361"/>
      <c r="S24" s="3362"/>
      <c r="Z24" s="1773">
        <v>24</v>
      </c>
    </row>
    <row r="25" spans="4:26" s="289" customFormat="1" ht="11.25" customHeight="1">
      <c r="D25" s="326"/>
      <c r="E25" s="2621" t="s">
        <v>3613</v>
      </c>
      <c r="H25" s="3360">
        <v>7705361294</v>
      </c>
      <c r="I25" s="3361"/>
      <c r="J25" s="3362"/>
      <c r="K25" s="2629" t="s">
        <v>1894</v>
      </c>
      <c r="L25" s="3367" t="s">
        <v>6881</v>
      </c>
      <c r="M25" s="3257"/>
      <c r="N25" s="3177"/>
      <c r="O25" s="3177"/>
      <c r="P25" s="3177"/>
      <c r="Q25" s="3257"/>
      <c r="R25" s="3257"/>
      <c r="S25" s="3258"/>
      <c r="Z25" s="1773">
        <v>25</v>
      </c>
    </row>
    <row r="26" spans="4:26" s="289" customFormat="1" ht="4.3499999999999996" customHeight="1">
      <c r="D26" s="326"/>
      <c r="E26" s="2628"/>
      <c r="F26" s="2628"/>
      <c r="G26" s="2620"/>
      <c r="H26" s="2760"/>
      <c r="I26" s="2760"/>
      <c r="J26" s="2760"/>
      <c r="K26" s="2629"/>
      <c r="L26" s="2760"/>
      <c r="M26" s="2760"/>
      <c r="N26" s="2618"/>
      <c r="O26" s="2761"/>
      <c r="P26" s="2761"/>
      <c r="Q26" s="2629"/>
      <c r="R26" s="2761"/>
      <c r="S26" s="2761"/>
      <c r="Z26" s="1773">
        <v>26</v>
      </c>
    </row>
    <row r="27" spans="4:26" s="289" customFormat="1" ht="11.25" customHeight="1">
      <c r="D27" s="291" t="s">
        <v>1655</v>
      </c>
      <c r="E27" s="289" t="s">
        <v>1771</v>
      </c>
      <c r="F27" s="2628"/>
      <c r="H27" s="3384"/>
      <c r="I27" s="3385"/>
      <c r="J27" s="3385"/>
      <c r="K27" s="3385"/>
      <c r="L27" s="3385"/>
      <c r="M27" s="3385"/>
      <c r="N27" s="3386"/>
      <c r="O27" s="2620" t="s">
        <v>1899</v>
      </c>
      <c r="P27" s="2620"/>
      <c r="Q27" s="3384"/>
      <c r="R27" s="3385"/>
      <c r="S27" s="3386"/>
      <c r="Z27" s="1773">
        <v>27</v>
      </c>
    </row>
    <row r="28" spans="4:26" s="289" customFormat="1" ht="11.25" customHeight="1">
      <c r="D28" s="326"/>
      <c r="E28" s="2621" t="s">
        <v>982</v>
      </c>
      <c r="F28" s="301"/>
      <c r="H28" s="3145"/>
      <c r="I28" s="3388"/>
      <c r="J28" s="3388"/>
      <c r="K28" s="3389"/>
      <c r="L28" s="3388"/>
      <c r="M28" s="3388"/>
      <c r="N28" s="3390"/>
      <c r="O28" s="2620" t="s">
        <v>1668</v>
      </c>
      <c r="Q28" s="3167"/>
      <c r="R28" s="3247"/>
      <c r="S28" s="3248"/>
      <c r="Z28" s="1773">
        <v>28</v>
      </c>
    </row>
    <row r="29" spans="4:26" s="289" customFormat="1" ht="11.25" customHeight="1">
      <c r="D29" s="326"/>
      <c r="E29" s="2621" t="s">
        <v>588</v>
      </c>
      <c r="H29" s="3145"/>
      <c r="I29" s="3389"/>
      <c r="J29" s="3260"/>
      <c r="K29" s="2623" t="s">
        <v>2553</v>
      </c>
      <c r="L29" s="3145"/>
      <c r="M29" s="3388"/>
      <c r="N29" s="3260"/>
      <c r="O29" s="2620" t="s">
        <v>1644</v>
      </c>
      <c r="Q29" s="3360"/>
      <c r="R29" s="3361"/>
      <c r="S29" s="3362"/>
      <c r="Z29" s="1773">
        <v>29</v>
      </c>
    </row>
    <row r="30" spans="4:26" s="289" customFormat="1" ht="11.25" customHeight="1">
      <c r="E30" s="2621" t="s">
        <v>1717</v>
      </c>
      <c r="H30" s="2694"/>
      <c r="K30" s="916" t="s">
        <v>2128</v>
      </c>
      <c r="L30" s="3155"/>
      <c r="M30" s="3391"/>
      <c r="O30" s="2620" t="s">
        <v>1889</v>
      </c>
      <c r="Q30" s="3360"/>
      <c r="R30" s="3361"/>
      <c r="S30" s="3362"/>
      <c r="Z30" s="1773">
        <v>30</v>
      </c>
    </row>
    <row r="31" spans="4:26" s="289" customFormat="1" ht="11.25" customHeight="1">
      <c r="D31" s="326"/>
      <c r="E31" s="2621" t="s">
        <v>3613</v>
      </c>
      <c r="H31" s="3382"/>
      <c r="I31" s="3387"/>
      <c r="J31" s="2759"/>
      <c r="K31" s="2629" t="s">
        <v>1894</v>
      </c>
      <c r="L31" s="3367"/>
      <c r="M31" s="3257"/>
      <c r="N31" s="3177"/>
      <c r="O31" s="3177"/>
      <c r="P31" s="3177"/>
      <c r="Q31" s="3257"/>
      <c r="R31" s="3257"/>
      <c r="S31" s="3258"/>
      <c r="Z31" s="1773">
        <v>31</v>
      </c>
    </row>
    <row r="32" spans="4:26" ht="4.3499999999999996" customHeight="1">
      <c r="Z32" s="1773">
        <v>32</v>
      </c>
    </row>
    <row r="33" spans="3:26" s="289" customFormat="1" ht="11.25" customHeight="1">
      <c r="C33" s="328" t="s">
        <v>1898</v>
      </c>
      <c r="D33" s="325" t="s">
        <v>1773</v>
      </c>
      <c r="H33" s="2628"/>
      <c r="I33" s="2628"/>
      <c r="J33" s="2628"/>
      <c r="K33" s="1053" t="s">
        <v>3612</v>
      </c>
      <c r="L33" s="2628"/>
      <c r="M33" s="2628"/>
      <c r="Z33" s="1773">
        <v>33</v>
      </c>
    </row>
    <row r="34" spans="3:26" s="289" customFormat="1" ht="11.25" customHeight="1">
      <c r="D34" s="291" t="s">
        <v>2022</v>
      </c>
      <c r="E34" s="289" t="s">
        <v>720</v>
      </c>
      <c r="H34" s="3384" t="s">
        <v>6889</v>
      </c>
      <c r="I34" s="3385"/>
      <c r="J34" s="3385"/>
      <c r="K34" s="3385"/>
      <c r="L34" s="3385"/>
      <c r="M34" s="3385"/>
      <c r="N34" s="3386"/>
      <c r="O34" s="2620" t="s">
        <v>1899</v>
      </c>
      <c r="P34" s="2620"/>
      <c r="Q34" s="3384" t="s">
        <v>6892</v>
      </c>
      <c r="R34" s="3385"/>
      <c r="S34" s="3386"/>
      <c r="Z34" s="1773">
        <v>34</v>
      </c>
    </row>
    <row r="35" spans="3:26" s="289" customFormat="1" ht="11.25" customHeight="1">
      <c r="D35" s="326"/>
      <c r="E35" s="2621" t="s">
        <v>982</v>
      </c>
      <c r="F35" s="301"/>
      <c r="H35" s="3145" t="s">
        <v>6890</v>
      </c>
      <c r="I35" s="3388"/>
      <c r="J35" s="3388"/>
      <c r="K35" s="3389"/>
      <c r="L35" s="3388"/>
      <c r="M35" s="3388"/>
      <c r="N35" s="3390"/>
      <c r="O35" s="2620" t="s">
        <v>1668</v>
      </c>
      <c r="Q35" s="3167" t="s">
        <v>6893</v>
      </c>
      <c r="R35" s="3247"/>
      <c r="S35" s="3248"/>
      <c r="Z35" s="1773">
        <v>35</v>
      </c>
    </row>
    <row r="36" spans="3:26" s="289" customFormat="1" ht="11.25" customHeight="1">
      <c r="D36" s="326"/>
      <c r="E36" s="2621" t="s">
        <v>588</v>
      </c>
      <c r="H36" s="3145" t="s">
        <v>6891</v>
      </c>
      <c r="I36" s="3389"/>
      <c r="J36" s="3260"/>
      <c r="K36" s="2623" t="s">
        <v>2553</v>
      </c>
      <c r="L36" s="3145" t="s">
        <v>6895</v>
      </c>
      <c r="M36" s="3388"/>
      <c r="N36" s="3260"/>
      <c r="O36" s="2620" t="s">
        <v>1644</v>
      </c>
      <c r="Q36" s="3360">
        <v>2122184448</v>
      </c>
      <c r="R36" s="3361"/>
      <c r="S36" s="3362"/>
      <c r="Z36" s="1773">
        <v>36</v>
      </c>
    </row>
    <row r="37" spans="3:26" s="289" customFormat="1" ht="11.25" customHeight="1">
      <c r="E37" s="2621" t="s">
        <v>1717</v>
      </c>
      <c r="H37" s="2694" t="s">
        <v>1299</v>
      </c>
      <c r="K37" s="916" t="s">
        <v>2128</v>
      </c>
      <c r="L37" s="3155">
        <v>101112901</v>
      </c>
      <c r="M37" s="3391"/>
      <c r="O37" s="2620" t="s">
        <v>1889</v>
      </c>
      <c r="Q37" s="3360">
        <v>9176178645</v>
      </c>
      <c r="R37" s="3361"/>
      <c r="S37" s="3362"/>
      <c r="Z37" s="1773">
        <v>37</v>
      </c>
    </row>
    <row r="38" spans="3:26" s="289" customFormat="1" ht="11.25" customHeight="1">
      <c r="D38" s="326"/>
      <c r="E38" s="2621" t="s">
        <v>3613</v>
      </c>
      <c r="H38" s="3382">
        <v>2122184448</v>
      </c>
      <c r="I38" s="3387"/>
      <c r="J38" s="2759"/>
      <c r="K38" s="2629" t="s">
        <v>1894</v>
      </c>
      <c r="L38" s="3367" t="s">
        <v>6894</v>
      </c>
      <c r="M38" s="3257"/>
      <c r="N38" s="3177"/>
      <c r="O38" s="3177"/>
      <c r="P38" s="3177"/>
      <c r="Q38" s="3257"/>
      <c r="R38" s="3257"/>
      <c r="S38" s="3258"/>
      <c r="Z38" s="1773">
        <v>38</v>
      </c>
    </row>
    <row r="39" spans="3:26" ht="4.3499999999999996" customHeight="1">
      <c r="H39" s="2760"/>
      <c r="I39" s="2760"/>
      <c r="J39" s="2760"/>
      <c r="K39" s="2629"/>
      <c r="L39" s="2760"/>
      <c r="M39" s="2760"/>
      <c r="N39" s="2618"/>
      <c r="O39" s="2761"/>
      <c r="P39" s="2761"/>
      <c r="Q39" s="2629"/>
      <c r="R39" s="2761"/>
      <c r="S39" s="2761"/>
      <c r="Z39" s="1773">
        <v>39</v>
      </c>
    </row>
    <row r="40" spans="3:26" s="289" customFormat="1" ht="11.25" customHeight="1">
      <c r="D40" s="291" t="s">
        <v>2023</v>
      </c>
      <c r="E40" s="289" t="s">
        <v>721</v>
      </c>
      <c r="F40" s="291"/>
      <c r="H40" s="3384" t="s">
        <v>6889</v>
      </c>
      <c r="I40" s="3385"/>
      <c r="J40" s="3385"/>
      <c r="K40" s="3385"/>
      <c r="L40" s="3385"/>
      <c r="M40" s="3385"/>
      <c r="N40" s="3386"/>
      <c r="O40" s="2620" t="s">
        <v>1899</v>
      </c>
      <c r="P40" s="2620"/>
      <c r="Q40" s="3384" t="s">
        <v>6892</v>
      </c>
      <c r="R40" s="3385"/>
      <c r="S40" s="3386"/>
      <c r="Z40" s="1773">
        <v>40</v>
      </c>
    </row>
    <row r="41" spans="3:26" s="289" customFormat="1" ht="11.25" customHeight="1">
      <c r="D41" s="326"/>
      <c r="E41" s="2621" t="s">
        <v>982</v>
      </c>
      <c r="F41" s="301"/>
      <c r="H41" s="3145" t="s">
        <v>6890</v>
      </c>
      <c r="I41" s="3388"/>
      <c r="J41" s="3388"/>
      <c r="K41" s="3389"/>
      <c r="L41" s="3388"/>
      <c r="M41" s="3388"/>
      <c r="N41" s="3390"/>
      <c r="O41" s="2620" t="s">
        <v>1668</v>
      </c>
      <c r="Q41" s="3167" t="s">
        <v>6893</v>
      </c>
      <c r="R41" s="3247"/>
      <c r="S41" s="3248"/>
      <c r="Z41" s="1773">
        <v>41</v>
      </c>
    </row>
    <row r="42" spans="3:26" s="289" customFormat="1" ht="11.25" customHeight="1">
      <c r="D42" s="326"/>
      <c r="E42" s="2621" t="s">
        <v>588</v>
      </c>
      <c r="H42" s="3145" t="s">
        <v>6891</v>
      </c>
      <c r="I42" s="3389"/>
      <c r="J42" s="3260"/>
      <c r="K42" s="2623" t="s">
        <v>2553</v>
      </c>
      <c r="L42" s="3145" t="s">
        <v>6895</v>
      </c>
      <c r="M42" s="3388"/>
      <c r="N42" s="3260"/>
      <c r="O42" s="2620" t="s">
        <v>1644</v>
      </c>
      <c r="Q42" s="3360">
        <v>2122184448</v>
      </c>
      <c r="R42" s="3361"/>
      <c r="S42" s="3362"/>
      <c r="Z42" s="1773">
        <v>42</v>
      </c>
    </row>
    <row r="43" spans="3:26" s="289" customFormat="1" ht="11.25" customHeight="1">
      <c r="D43" s="291"/>
      <c r="E43" s="2621" t="s">
        <v>1717</v>
      </c>
      <c r="H43" s="2694" t="s">
        <v>1299</v>
      </c>
      <c r="K43" s="916" t="s">
        <v>2128</v>
      </c>
      <c r="L43" s="3155">
        <v>101112901</v>
      </c>
      <c r="M43" s="3391"/>
      <c r="O43" s="2620" t="s">
        <v>1889</v>
      </c>
      <c r="Q43" s="3360">
        <v>9176178645</v>
      </c>
      <c r="R43" s="3361"/>
      <c r="S43" s="3362"/>
      <c r="Z43" s="1773">
        <v>43</v>
      </c>
    </row>
    <row r="44" spans="3:26" s="289" customFormat="1" ht="11.25" customHeight="1">
      <c r="D44" s="326"/>
      <c r="E44" s="2621" t="s">
        <v>3613</v>
      </c>
      <c r="H44" s="3382">
        <v>2122184448</v>
      </c>
      <c r="I44" s="3387"/>
      <c r="J44" s="2759"/>
      <c r="K44" s="2629" t="s">
        <v>1894</v>
      </c>
      <c r="L44" s="3367" t="s">
        <v>6894</v>
      </c>
      <c r="M44" s="3257"/>
      <c r="N44" s="3177"/>
      <c r="O44" s="3177"/>
      <c r="P44" s="3177"/>
      <c r="Q44" s="3257"/>
      <c r="R44" s="3257"/>
      <c r="S44" s="3258"/>
      <c r="Z44" s="1773">
        <v>44</v>
      </c>
    </row>
    <row r="45" spans="3:26" s="289" customFormat="1" ht="4.3499999999999996" customHeight="1">
      <c r="D45" s="326"/>
      <c r="E45" s="2621"/>
      <c r="F45" s="291"/>
      <c r="H45" s="322"/>
      <c r="I45" s="322"/>
      <c r="J45" s="2762"/>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3612</v>
      </c>
      <c r="L46" s="2628"/>
      <c r="M46" s="2628"/>
      <c r="Z46" s="1773">
        <v>46</v>
      </c>
    </row>
    <row r="47" spans="3:26" s="289" customFormat="1" ht="11.25" customHeight="1">
      <c r="E47" s="289" t="s">
        <v>87</v>
      </c>
      <c r="H47" s="3384"/>
      <c r="I47" s="3385"/>
      <c r="J47" s="3385"/>
      <c r="K47" s="3385"/>
      <c r="L47" s="3385"/>
      <c r="M47" s="3385"/>
      <c r="N47" s="3386"/>
      <c r="O47" s="2620" t="s">
        <v>1899</v>
      </c>
      <c r="P47" s="2620"/>
      <c r="Q47" s="3384"/>
      <c r="R47" s="3385"/>
      <c r="S47" s="3386"/>
      <c r="Z47" s="1773">
        <v>47</v>
      </c>
    </row>
    <row r="48" spans="3:26" s="289" customFormat="1" ht="11.25" customHeight="1">
      <c r="D48" s="326"/>
      <c r="E48" s="2621" t="s">
        <v>982</v>
      </c>
      <c r="F48" s="301"/>
      <c r="H48" s="3145"/>
      <c r="I48" s="3388"/>
      <c r="J48" s="3388"/>
      <c r="K48" s="3389"/>
      <c r="L48" s="3388"/>
      <c r="M48" s="3388"/>
      <c r="N48" s="3390"/>
      <c r="O48" s="2620" t="s">
        <v>1668</v>
      </c>
      <c r="Q48" s="3167"/>
      <c r="R48" s="3247"/>
      <c r="S48" s="3248"/>
      <c r="Z48" s="1773">
        <v>48</v>
      </c>
    </row>
    <row r="49" spans="1:26" s="289" customFormat="1" ht="11.25" customHeight="1">
      <c r="D49" s="326"/>
      <c r="E49" s="2621" t="s">
        <v>588</v>
      </c>
      <c r="H49" s="3145"/>
      <c r="I49" s="3389"/>
      <c r="J49" s="3260"/>
      <c r="K49" s="2623" t="s">
        <v>2553</v>
      </c>
      <c r="L49" s="3145"/>
      <c r="M49" s="3388"/>
      <c r="N49" s="3260"/>
      <c r="O49" s="2620" t="s">
        <v>1644</v>
      </c>
      <c r="Q49" s="3360"/>
      <c r="R49" s="3361"/>
      <c r="S49" s="3362"/>
      <c r="Z49" s="1773">
        <v>49</v>
      </c>
    </row>
    <row r="50" spans="1:26" s="289" customFormat="1" ht="11.25" customHeight="1">
      <c r="E50" s="2621" t="s">
        <v>1717</v>
      </c>
      <c r="H50" s="2694"/>
      <c r="K50" s="916" t="s">
        <v>2128</v>
      </c>
      <c r="L50" s="3155"/>
      <c r="M50" s="3391"/>
      <c r="O50" s="2620" t="s">
        <v>1889</v>
      </c>
      <c r="Q50" s="3360"/>
      <c r="R50" s="3361"/>
      <c r="S50" s="3362"/>
      <c r="Z50" s="1773">
        <v>50</v>
      </c>
    </row>
    <row r="51" spans="1:26" s="289" customFormat="1" ht="11.25" customHeight="1">
      <c r="D51" s="326"/>
      <c r="E51" s="2621" t="s">
        <v>3613</v>
      </c>
      <c r="H51" s="3382"/>
      <c r="I51" s="3387"/>
      <c r="J51" s="2759"/>
      <c r="K51" s="2629" t="s">
        <v>1894</v>
      </c>
      <c r="L51" s="3367"/>
      <c r="M51" s="3257"/>
      <c r="N51" s="3177"/>
      <c r="O51" s="3177"/>
      <c r="P51" s="3177"/>
      <c r="Q51" s="3257"/>
      <c r="R51" s="3257"/>
      <c r="S51" s="3258"/>
      <c r="Z51" s="1773">
        <v>51</v>
      </c>
    </row>
    <row r="52" spans="1:26" ht="6.75" customHeight="1">
      <c r="Z52" s="1773">
        <v>52</v>
      </c>
    </row>
    <row r="53" spans="1:26" s="289" customFormat="1" ht="13.35" customHeight="1">
      <c r="A53" s="291" t="s">
        <v>710</v>
      </c>
      <c r="B53" s="291" t="s">
        <v>622</v>
      </c>
      <c r="F53" s="291"/>
      <c r="G53" s="2629"/>
      <c r="H53" s="2629"/>
      <c r="I53" s="2629"/>
      <c r="J53" s="2628"/>
      <c r="K53" s="1053" t="s">
        <v>3612</v>
      </c>
      <c r="L53" s="2628"/>
      <c r="M53" s="2628"/>
      <c r="N53" s="2628"/>
      <c r="O53" s="2628"/>
      <c r="P53" s="2628"/>
      <c r="Q53" s="2628"/>
      <c r="R53" s="2628"/>
      <c r="S53" s="2628"/>
      <c r="Z53" s="1773">
        <v>53</v>
      </c>
    </row>
    <row r="54" spans="1:26" s="289" customFormat="1" ht="3" customHeight="1">
      <c r="A54" s="291"/>
      <c r="B54" s="291"/>
      <c r="F54" s="291"/>
      <c r="G54" s="2629"/>
      <c r="H54" s="2763"/>
      <c r="I54" s="2763"/>
      <c r="J54" s="2763"/>
      <c r="K54" s="2618"/>
      <c r="L54" s="2763"/>
      <c r="M54" s="2763"/>
      <c r="N54" s="2618"/>
      <c r="O54" s="2761"/>
      <c r="P54" s="2761"/>
      <c r="Q54" s="2629"/>
      <c r="R54" s="2761"/>
      <c r="S54" s="2761"/>
      <c r="Z54" s="1773">
        <v>54</v>
      </c>
    </row>
    <row r="55" spans="1:26" s="289" customFormat="1" ht="11.25" customHeight="1">
      <c r="B55" s="291" t="s">
        <v>1893</v>
      </c>
      <c r="C55" s="291" t="s">
        <v>271</v>
      </c>
      <c r="H55" s="3384" t="s">
        <v>6850</v>
      </c>
      <c r="I55" s="3385"/>
      <c r="J55" s="3385"/>
      <c r="K55" s="3385"/>
      <c r="L55" s="3385"/>
      <c r="M55" s="3385"/>
      <c r="N55" s="3386"/>
      <c r="O55" s="2620" t="s">
        <v>1899</v>
      </c>
      <c r="P55" s="2620"/>
      <c r="Q55" s="3384" t="s">
        <v>6885</v>
      </c>
      <c r="R55" s="3385"/>
      <c r="S55" s="3386"/>
      <c r="Z55" s="1773">
        <v>55</v>
      </c>
    </row>
    <row r="56" spans="1:26" s="289" customFormat="1" ht="11.25" customHeight="1">
      <c r="D56" s="326"/>
      <c r="E56" s="2621" t="s">
        <v>982</v>
      </c>
      <c r="F56" s="301"/>
      <c r="H56" s="3145" t="s">
        <v>6896</v>
      </c>
      <c r="I56" s="3388"/>
      <c r="J56" s="3388"/>
      <c r="K56" s="3389"/>
      <c r="L56" s="3388"/>
      <c r="M56" s="3388"/>
      <c r="N56" s="3390"/>
      <c r="O56" s="2620" t="s">
        <v>1668</v>
      </c>
      <c r="Q56" s="3167" t="s">
        <v>6852</v>
      </c>
      <c r="R56" s="3247"/>
      <c r="S56" s="3248"/>
      <c r="Z56" s="1773">
        <v>56</v>
      </c>
    </row>
    <row r="57" spans="1:26" s="289" customFormat="1" ht="11.25" customHeight="1">
      <c r="D57" s="326"/>
      <c r="E57" s="2621" t="s">
        <v>588</v>
      </c>
      <c r="H57" s="3145" t="s">
        <v>6897</v>
      </c>
      <c r="I57" s="3389"/>
      <c r="J57" s="3260"/>
      <c r="K57" s="2623" t="s">
        <v>2553</v>
      </c>
      <c r="L57" s="3145" t="s">
        <v>6888</v>
      </c>
      <c r="M57" s="3388"/>
      <c r="N57" s="3260"/>
      <c r="O57" s="2620" t="s">
        <v>1644</v>
      </c>
      <c r="Q57" s="3360">
        <v>2673868668</v>
      </c>
      <c r="R57" s="3361"/>
      <c r="S57" s="3362"/>
      <c r="Z57" s="1773">
        <v>57</v>
      </c>
    </row>
    <row r="58" spans="1:26" s="289" customFormat="1" ht="11.25" customHeight="1">
      <c r="E58" s="2621" t="s">
        <v>1717</v>
      </c>
      <c r="H58" s="2694" t="s">
        <v>1305</v>
      </c>
      <c r="K58" s="916" t="s">
        <v>2128</v>
      </c>
      <c r="L58" s="3155">
        <v>191214495</v>
      </c>
      <c r="M58" s="3391"/>
      <c r="O58" s="2620" t="s">
        <v>1889</v>
      </c>
      <c r="Q58" s="3360"/>
      <c r="R58" s="3361"/>
      <c r="S58" s="3362"/>
      <c r="Z58" s="1773">
        <v>58</v>
      </c>
    </row>
    <row r="59" spans="1:26" s="289" customFormat="1" ht="11.25" customHeight="1">
      <c r="D59" s="326"/>
      <c r="E59" s="2621" t="s">
        <v>3613</v>
      </c>
      <c r="H59" s="3382">
        <v>2673868600</v>
      </c>
      <c r="I59" s="3387"/>
      <c r="J59" s="2759"/>
      <c r="K59" s="2629" t="s">
        <v>1894</v>
      </c>
      <c r="L59" s="3367" t="s">
        <v>6854</v>
      </c>
      <c r="M59" s="3257"/>
      <c r="N59" s="3177"/>
      <c r="O59" s="3177"/>
      <c r="P59" s="3177"/>
      <c r="Q59" s="3257"/>
      <c r="R59" s="3257"/>
      <c r="S59" s="3258"/>
      <c r="Z59" s="1773">
        <v>59</v>
      </c>
    </row>
    <row r="60" spans="1:26" s="289" customFormat="1" ht="6.6" customHeight="1">
      <c r="D60" s="326"/>
      <c r="E60" s="2628"/>
      <c r="F60" s="2628"/>
      <c r="G60" s="2620"/>
      <c r="H60" s="2760"/>
      <c r="I60" s="2760"/>
      <c r="J60" s="2760"/>
      <c r="K60" s="2629"/>
      <c r="L60" s="2760"/>
      <c r="M60" s="2760"/>
      <c r="N60" s="2618"/>
      <c r="O60" s="2761"/>
      <c r="P60" s="2761"/>
      <c r="Q60" s="2629"/>
      <c r="R60" s="2761"/>
      <c r="S60" s="2761"/>
      <c r="Z60" s="1773">
        <v>60</v>
      </c>
    </row>
    <row r="61" spans="1:26" s="289" customFormat="1" ht="11.25" customHeight="1">
      <c r="B61" s="291" t="s">
        <v>1895</v>
      </c>
      <c r="C61" s="291" t="s">
        <v>272</v>
      </c>
      <c r="H61" s="3384" t="s">
        <v>375</v>
      </c>
      <c r="I61" s="3385"/>
      <c r="J61" s="3385"/>
      <c r="K61" s="3385"/>
      <c r="L61" s="3385"/>
      <c r="M61" s="3385"/>
      <c r="N61" s="3386"/>
      <c r="O61" s="2620" t="s">
        <v>1899</v>
      </c>
      <c r="P61" s="2620"/>
      <c r="Q61" s="3384" t="s">
        <v>6878</v>
      </c>
      <c r="R61" s="3385"/>
      <c r="S61" s="3386"/>
      <c r="Z61" s="1773">
        <v>61</v>
      </c>
    </row>
    <row r="62" spans="1:26" s="289" customFormat="1" ht="11.25" customHeight="1">
      <c r="D62" s="326"/>
      <c r="E62" s="2621" t="s">
        <v>982</v>
      </c>
      <c r="F62" s="301"/>
      <c r="H62" s="3145" t="s">
        <v>6877</v>
      </c>
      <c r="I62" s="3388"/>
      <c r="J62" s="3388"/>
      <c r="K62" s="3389"/>
      <c r="L62" s="3388"/>
      <c r="M62" s="3388"/>
      <c r="N62" s="3390"/>
      <c r="O62" s="2620" t="s">
        <v>1668</v>
      </c>
      <c r="Q62" s="3167" t="s">
        <v>6879</v>
      </c>
      <c r="R62" s="3247"/>
      <c r="S62" s="3248"/>
      <c r="Z62" s="1773">
        <v>62</v>
      </c>
    </row>
    <row r="63" spans="1:26" s="289" customFormat="1" ht="11.25" customHeight="1">
      <c r="D63" s="326"/>
      <c r="E63" s="2621" t="s">
        <v>588</v>
      </c>
      <c r="H63" s="3145" t="s">
        <v>2070</v>
      </c>
      <c r="I63" s="3389"/>
      <c r="J63" s="3260"/>
      <c r="K63" s="2623" t="s">
        <v>2553</v>
      </c>
      <c r="L63" s="3145" t="s">
        <v>6880</v>
      </c>
      <c r="M63" s="3388"/>
      <c r="N63" s="3260"/>
      <c r="O63" s="2620" t="s">
        <v>1644</v>
      </c>
      <c r="Q63" s="3150">
        <v>7709936226</v>
      </c>
      <c r="R63" s="3359"/>
      <c r="S63" s="3151"/>
      <c r="Z63" s="1773">
        <v>63</v>
      </c>
    </row>
    <row r="64" spans="1:26" s="289" customFormat="1" ht="11.25" customHeight="1">
      <c r="E64" s="2621" t="s">
        <v>1717</v>
      </c>
      <c r="H64" s="2694" t="s">
        <v>815</v>
      </c>
      <c r="K64" s="916" t="s">
        <v>2128</v>
      </c>
      <c r="L64" s="3155">
        <v>300756500</v>
      </c>
      <c r="M64" s="3391"/>
      <c r="O64" s="2620" t="s">
        <v>1889</v>
      </c>
      <c r="Q64" s="3360">
        <v>4044317189</v>
      </c>
      <c r="R64" s="3361"/>
      <c r="S64" s="3362"/>
      <c r="Z64" s="1773">
        <v>64</v>
      </c>
    </row>
    <row r="65" spans="1:26" s="289" customFormat="1" ht="11.25" customHeight="1">
      <c r="D65" s="326"/>
      <c r="E65" s="2621" t="s">
        <v>3613</v>
      </c>
      <c r="H65" s="3382">
        <v>7705361294</v>
      </c>
      <c r="I65" s="3387"/>
      <c r="J65" s="2759"/>
      <c r="K65" s="2629" t="s">
        <v>1894</v>
      </c>
      <c r="L65" s="3367" t="s">
        <v>6881</v>
      </c>
      <c r="M65" s="3257"/>
      <c r="N65" s="3177"/>
      <c r="O65" s="3177"/>
      <c r="P65" s="3177"/>
      <c r="Q65" s="3257"/>
      <c r="R65" s="3257"/>
      <c r="S65" s="3258"/>
      <c r="Z65" s="1773">
        <v>65</v>
      </c>
    </row>
    <row r="66" spans="1:26" s="289" customFormat="1" ht="6.6" customHeight="1">
      <c r="D66" s="326"/>
      <c r="E66" s="2628"/>
      <c r="F66" s="2628"/>
      <c r="G66" s="2620"/>
      <c r="H66" s="2760"/>
      <c r="I66" s="2760"/>
      <c r="J66" s="2760"/>
      <c r="K66" s="2629"/>
      <c r="L66" s="2760"/>
      <c r="M66" s="2760"/>
      <c r="N66" s="2618"/>
      <c r="O66" s="2761"/>
      <c r="P66" s="2761"/>
      <c r="Q66" s="2629"/>
      <c r="R66" s="2761"/>
      <c r="S66" s="2761"/>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21" t="s">
        <v>982</v>
      </c>
      <c r="F68" s="301"/>
      <c r="H68" s="3145"/>
      <c r="I68" s="3388"/>
      <c r="J68" s="3388"/>
      <c r="K68" s="3389"/>
      <c r="L68" s="3388"/>
      <c r="M68" s="3388"/>
      <c r="N68" s="3390"/>
      <c r="O68" s="2620" t="s">
        <v>1668</v>
      </c>
      <c r="Q68" s="3167"/>
      <c r="R68" s="3247"/>
      <c r="S68" s="3248"/>
      <c r="Z68" s="1773">
        <v>68</v>
      </c>
    </row>
    <row r="69" spans="1:26" s="289" customFormat="1" ht="11.25" customHeight="1">
      <c r="D69" s="326"/>
      <c r="E69" s="2621" t="s">
        <v>588</v>
      </c>
      <c r="H69" s="3145"/>
      <c r="I69" s="3389"/>
      <c r="J69" s="3260"/>
      <c r="K69" s="2623" t="s">
        <v>2553</v>
      </c>
      <c r="L69" s="3145"/>
      <c r="M69" s="3388"/>
      <c r="N69" s="3260"/>
      <c r="O69" s="2620" t="s">
        <v>1644</v>
      </c>
      <c r="Q69" s="3360"/>
      <c r="R69" s="3361"/>
      <c r="S69" s="3362"/>
      <c r="Z69" s="1773">
        <v>69</v>
      </c>
    </row>
    <row r="70" spans="1:26" s="289" customFormat="1" ht="11.25" customHeight="1">
      <c r="E70" s="2621" t="s">
        <v>1717</v>
      </c>
      <c r="H70" s="2694"/>
      <c r="K70" s="916" t="s">
        <v>2128</v>
      </c>
      <c r="L70" s="3155"/>
      <c r="M70" s="3391"/>
      <c r="O70" s="2620" t="s">
        <v>1889</v>
      </c>
      <c r="Q70" s="3360"/>
      <c r="R70" s="3361"/>
      <c r="S70" s="3362"/>
      <c r="Z70" s="1773">
        <v>70</v>
      </c>
    </row>
    <row r="71" spans="1:26" s="289" customFormat="1" ht="11.25" customHeight="1">
      <c r="D71" s="326"/>
      <c r="E71" s="2621" t="s">
        <v>3613</v>
      </c>
      <c r="H71" s="3382"/>
      <c r="I71" s="3387"/>
      <c r="J71" s="2759"/>
      <c r="K71" s="2629" t="s">
        <v>1894</v>
      </c>
      <c r="L71" s="3367"/>
      <c r="M71" s="3257"/>
      <c r="N71" s="3177"/>
      <c r="O71" s="3177"/>
      <c r="P71" s="3177"/>
      <c r="Q71" s="3257"/>
      <c r="R71" s="3257"/>
      <c r="S71" s="3258"/>
      <c r="Z71" s="1773">
        <v>71</v>
      </c>
    </row>
    <row r="72" spans="1:26" ht="6.6" customHeight="1">
      <c r="H72" s="2760"/>
      <c r="I72" s="2760"/>
      <c r="J72" s="2760"/>
      <c r="K72" s="2629"/>
      <c r="L72" s="2760"/>
      <c r="M72" s="2760"/>
      <c r="N72" s="2618"/>
      <c r="O72" s="2761"/>
      <c r="P72" s="2761"/>
      <c r="Q72" s="2629"/>
      <c r="R72" s="2761"/>
      <c r="S72" s="2761"/>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21" t="s">
        <v>982</v>
      </c>
      <c r="F74" s="301"/>
      <c r="H74" s="3145"/>
      <c r="I74" s="3388"/>
      <c r="J74" s="3388"/>
      <c r="K74" s="3389"/>
      <c r="L74" s="3388"/>
      <c r="M74" s="3388"/>
      <c r="N74" s="3390"/>
      <c r="O74" s="2620" t="s">
        <v>1668</v>
      </c>
      <c r="Q74" s="3167"/>
      <c r="R74" s="3247"/>
      <c r="S74" s="3248"/>
      <c r="Z74" s="1773">
        <v>74</v>
      </c>
    </row>
    <row r="75" spans="1:26" s="289" customFormat="1" ht="11.25" customHeight="1">
      <c r="D75" s="326"/>
      <c r="E75" s="2621" t="s">
        <v>588</v>
      </c>
      <c r="H75" s="3145"/>
      <c r="I75" s="3389"/>
      <c r="J75" s="3260"/>
      <c r="K75" s="2623" t="s">
        <v>2553</v>
      </c>
      <c r="L75" s="3145"/>
      <c r="M75" s="3388"/>
      <c r="N75" s="3260"/>
      <c r="O75" s="2620" t="s">
        <v>1644</v>
      </c>
      <c r="Q75" s="3360"/>
      <c r="R75" s="3361"/>
      <c r="S75" s="3362"/>
      <c r="Z75" s="1773">
        <v>75</v>
      </c>
    </row>
    <row r="76" spans="1:26" s="289" customFormat="1" ht="11.25" customHeight="1">
      <c r="E76" s="2621" t="s">
        <v>1717</v>
      </c>
      <c r="H76" s="2694"/>
      <c r="K76" s="916" t="s">
        <v>2128</v>
      </c>
      <c r="L76" s="3155"/>
      <c r="M76" s="3391"/>
      <c r="O76" s="2620" t="s">
        <v>1889</v>
      </c>
      <c r="Q76" s="3360"/>
      <c r="R76" s="3361"/>
      <c r="S76" s="3362"/>
      <c r="Z76" s="1773">
        <v>76</v>
      </c>
    </row>
    <row r="77" spans="1:26" s="289" customFormat="1" ht="11.25" customHeight="1">
      <c r="D77" s="326"/>
      <c r="E77" s="2621" t="s">
        <v>3613</v>
      </c>
      <c r="H77" s="3382"/>
      <c r="I77" s="3387"/>
      <c r="J77" s="2759"/>
      <c r="K77" s="2629" t="s">
        <v>1894</v>
      </c>
      <c r="L77" s="3367"/>
      <c r="M77" s="3257"/>
      <c r="N77" s="3177"/>
      <c r="O77" s="3177"/>
      <c r="P77" s="3177"/>
      <c r="Q77" s="3257"/>
      <c r="R77" s="3257"/>
      <c r="S77" s="3258"/>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3612</v>
      </c>
      <c r="L79" s="1662"/>
      <c r="M79" s="1662"/>
      <c r="Z79" s="1773">
        <v>79</v>
      </c>
    </row>
    <row r="80" spans="1:26" s="2621" customFormat="1" ht="3" customHeight="1">
      <c r="A80" s="294"/>
      <c r="B80" s="294"/>
      <c r="D80" s="294"/>
      <c r="E80" s="2620"/>
      <c r="F80" s="1662"/>
      <c r="G80" s="1662"/>
      <c r="H80" s="2763"/>
      <c r="I80" s="2763"/>
      <c r="J80" s="2763"/>
      <c r="K80" s="2618"/>
      <c r="L80" s="2763"/>
      <c r="M80" s="2763"/>
      <c r="N80" s="2618"/>
      <c r="O80" s="2761"/>
      <c r="P80" s="2761"/>
      <c r="Q80" s="2629"/>
      <c r="R80" s="2761"/>
      <c r="S80" s="2761"/>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21" t="s">
        <v>982</v>
      </c>
      <c r="F82" s="301"/>
      <c r="H82" s="3145"/>
      <c r="I82" s="3388"/>
      <c r="J82" s="3388"/>
      <c r="K82" s="3389"/>
      <c r="L82" s="3388"/>
      <c r="M82" s="3388"/>
      <c r="N82" s="3390"/>
      <c r="O82" s="2620" t="s">
        <v>1668</v>
      </c>
      <c r="Q82" s="3167"/>
      <c r="R82" s="3247"/>
      <c r="S82" s="3248"/>
      <c r="Z82" s="1773">
        <v>82</v>
      </c>
    </row>
    <row r="83" spans="2:26" s="289" customFormat="1" ht="11.25" customHeight="1">
      <c r="D83" s="326"/>
      <c r="E83" s="2621" t="s">
        <v>588</v>
      </c>
      <c r="H83" s="3145"/>
      <c r="I83" s="3389"/>
      <c r="J83" s="3260"/>
      <c r="K83" s="2623" t="s">
        <v>2553</v>
      </c>
      <c r="L83" s="3145"/>
      <c r="M83" s="3388"/>
      <c r="N83" s="3260"/>
      <c r="O83" s="2620" t="s">
        <v>1644</v>
      </c>
      <c r="Q83" s="3360"/>
      <c r="R83" s="3361"/>
      <c r="S83" s="3362"/>
      <c r="Z83" s="1773">
        <v>83</v>
      </c>
    </row>
    <row r="84" spans="2:26" s="289" customFormat="1" ht="11.25" customHeight="1">
      <c r="E84" s="2621" t="s">
        <v>1717</v>
      </c>
      <c r="H84" s="2694"/>
      <c r="K84" s="916" t="s">
        <v>2128</v>
      </c>
      <c r="L84" s="3155"/>
      <c r="M84" s="3391"/>
      <c r="O84" s="2620" t="s">
        <v>1889</v>
      </c>
      <c r="Q84" s="3360"/>
      <c r="R84" s="3361"/>
      <c r="S84" s="3362"/>
      <c r="Z84" s="1773">
        <v>84</v>
      </c>
    </row>
    <row r="85" spans="2:26" s="289" customFormat="1" ht="11.25" customHeight="1">
      <c r="D85" s="326"/>
      <c r="E85" s="2621" t="s">
        <v>3613</v>
      </c>
      <c r="H85" s="3382"/>
      <c r="I85" s="3387"/>
      <c r="J85" s="2759"/>
      <c r="K85" s="2629" t="s">
        <v>1894</v>
      </c>
      <c r="L85" s="3367"/>
      <c r="M85" s="3257"/>
      <c r="N85" s="3177"/>
      <c r="O85" s="3177"/>
      <c r="P85" s="3177"/>
      <c r="Q85" s="3257"/>
      <c r="R85" s="3257"/>
      <c r="S85" s="3258"/>
      <c r="Z85" s="1773">
        <v>85</v>
      </c>
    </row>
    <row r="86" spans="2:26" ht="6.6" customHeight="1">
      <c r="H86" s="2760"/>
      <c r="I86" s="2760"/>
      <c r="J86" s="2760"/>
      <c r="K86" s="2629"/>
      <c r="L86" s="2760"/>
      <c r="M86" s="2760"/>
      <c r="N86" s="2618"/>
      <c r="O86" s="2761"/>
      <c r="P86" s="2761"/>
      <c r="Q86" s="2629"/>
      <c r="R86" s="2761"/>
      <c r="S86" s="2761"/>
      <c r="Z86" s="1773">
        <v>86</v>
      </c>
    </row>
    <row r="87" spans="2:26" s="289" customFormat="1" ht="11.25" customHeight="1">
      <c r="B87" s="291" t="s">
        <v>1895</v>
      </c>
      <c r="C87" s="291" t="s">
        <v>276</v>
      </c>
      <c r="H87" s="3384" t="s">
        <v>6898</v>
      </c>
      <c r="I87" s="3385"/>
      <c r="J87" s="3385"/>
      <c r="K87" s="3385"/>
      <c r="L87" s="3385"/>
      <c r="M87" s="3385"/>
      <c r="N87" s="3386"/>
      <c r="O87" s="2620" t="s">
        <v>1899</v>
      </c>
      <c r="P87" s="2620"/>
      <c r="Q87" s="3384" t="s">
        <v>6903</v>
      </c>
      <c r="R87" s="3385"/>
      <c r="S87" s="3386"/>
      <c r="Z87" s="1773">
        <v>87</v>
      </c>
    </row>
    <row r="88" spans="2:26" s="289" customFormat="1" ht="11.25" customHeight="1">
      <c r="D88" s="326"/>
      <c r="E88" s="2621" t="s">
        <v>982</v>
      </c>
      <c r="F88" s="301"/>
      <c r="H88" s="3145" t="s">
        <v>6899</v>
      </c>
      <c r="I88" s="3388"/>
      <c r="J88" s="3388"/>
      <c r="K88" s="3389"/>
      <c r="L88" s="3388"/>
      <c r="M88" s="3388"/>
      <c r="N88" s="3390"/>
      <c r="O88" s="2620" t="s">
        <v>1668</v>
      </c>
      <c r="Q88" s="3167" t="s">
        <v>6904</v>
      </c>
      <c r="R88" s="3247"/>
      <c r="S88" s="3248"/>
      <c r="Z88" s="1773">
        <v>88</v>
      </c>
    </row>
    <row r="89" spans="2:26" s="289" customFormat="1" ht="11.25" customHeight="1">
      <c r="D89" s="326"/>
      <c r="E89" s="2621" t="s">
        <v>588</v>
      </c>
      <c r="H89" s="3145" t="s">
        <v>6900</v>
      </c>
      <c r="I89" s="3389"/>
      <c r="J89" s="3260"/>
      <c r="K89" s="2623" t="s">
        <v>2553</v>
      </c>
      <c r="L89" s="3145" t="s">
        <v>6901</v>
      </c>
      <c r="M89" s="3388"/>
      <c r="N89" s="3260"/>
      <c r="O89" s="2620" t="s">
        <v>1644</v>
      </c>
      <c r="Q89" s="3360">
        <v>2053805671</v>
      </c>
      <c r="R89" s="3361"/>
      <c r="S89" s="3362"/>
      <c r="Z89" s="1773">
        <v>89</v>
      </c>
    </row>
    <row r="90" spans="2:26" s="289" customFormat="1" ht="11.25" customHeight="1">
      <c r="E90" s="2621" t="s">
        <v>1717</v>
      </c>
      <c r="H90" s="2694" t="s">
        <v>805</v>
      </c>
      <c r="K90" s="916" t="s">
        <v>2128</v>
      </c>
      <c r="L90" s="3155">
        <v>352098314</v>
      </c>
      <c r="M90" s="3391"/>
      <c r="O90" s="2620" t="s">
        <v>1889</v>
      </c>
      <c r="Q90" s="3360"/>
      <c r="R90" s="3361"/>
      <c r="S90" s="3362"/>
      <c r="Z90" s="1773">
        <v>90</v>
      </c>
    </row>
    <row r="91" spans="2:26" s="289" customFormat="1" ht="11.25" customHeight="1">
      <c r="D91" s="326"/>
      <c r="E91" s="2621" t="s">
        <v>3613</v>
      </c>
      <c r="H91" s="3382">
        <v>2053805671</v>
      </c>
      <c r="I91" s="3387"/>
      <c r="J91" s="2759"/>
      <c r="K91" s="2629" t="s">
        <v>1894</v>
      </c>
      <c r="L91" s="3367" t="s">
        <v>6902</v>
      </c>
      <c r="M91" s="3257"/>
      <c r="N91" s="3177"/>
      <c r="O91" s="3177"/>
      <c r="P91" s="3177"/>
      <c r="Q91" s="3257"/>
      <c r="R91" s="3257"/>
      <c r="S91" s="3258"/>
      <c r="Z91" s="1773">
        <v>91</v>
      </c>
    </row>
    <row r="92" spans="2:26" ht="6.6" customHeight="1">
      <c r="H92" s="2760"/>
      <c r="I92" s="2760"/>
      <c r="J92" s="2760"/>
      <c r="K92" s="2629"/>
      <c r="L92" s="2760"/>
      <c r="M92" s="2760"/>
      <c r="N92" s="2618"/>
      <c r="O92" s="2761"/>
      <c r="P92" s="2761"/>
      <c r="Q92" s="2629"/>
      <c r="R92" s="2761"/>
      <c r="S92" s="2761"/>
      <c r="Z92" s="1773">
        <v>92</v>
      </c>
    </row>
    <row r="93" spans="2:26" s="289" customFormat="1" ht="11.25" customHeight="1">
      <c r="B93" s="291" t="s">
        <v>719</v>
      </c>
      <c r="C93" s="291" t="s">
        <v>277</v>
      </c>
      <c r="F93" s="307"/>
      <c r="H93" s="3384" t="s">
        <v>6905</v>
      </c>
      <c r="I93" s="3385"/>
      <c r="J93" s="3385"/>
      <c r="K93" s="3385"/>
      <c r="L93" s="3385"/>
      <c r="M93" s="3385"/>
      <c r="N93" s="3386"/>
      <c r="O93" s="2620" t="s">
        <v>1899</v>
      </c>
      <c r="P93" s="2620"/>
      <c r="Q93" s="3384" t="s">
        <v>6885</v>
      </c>
      <c r="R93" s="3385"/>
      <c r="S93" s="3386"/>
      <c r="Z93" s="1773">
        <v>93</v>
      </c>
    </row>
    <row r="94" spans="2:26" s="289" customFormat="1" ht="11.25" customHeight="1">
      <c r="D94" s="326"/>
      <c r="E94" s="2621" t="s">
        <v>982</v>
      </c>
      <c r="F94" s="301"/>
      <c r="H94" s="3145" t="s">
        <v>6896</v>
      </c>
      <c r="I94" s="3388"/>
      <c r="J94" s="3388"/>
      <c r="K94" s="3389"/>
      <c r="L94" s="3388"/>
      <c r="M94" s="3388"/>
      <c r="N94" s="3390"/>
      <c r="O94" s="2620" t="s">
        <v>1668</v>
      </c>
      <c r="Q94" s="3167" t="s">
        <v>6852</v>
      </c>
      <c r="R94" s="3247"/>
      <c r="S94" s="3248"/>
      <c r="Z94" s="1773">
        <v>94</v>
      </c>
    </row>
    <row r="95" spans="2:26" s="289" customFormat="1" ht="11.25" customHeight="1">
      <c r="D95" s="326"/>
      <c r="E95" s="2621" t="s">
        <v>588</v>
      </c>
      <c r="H95" s="3145" t="s">
        <v>6897</v>
      </c>
      <c r="I95" s="3389"/>
      <c r="J95" s="3260"/>
      <c r="K95" s="2623" t="s">
        <v>2553</v>
      </c>
      <c r="L95" s="3145" t="s">
        <v>6888</v>
      </c>
      <c r="M95" s="3388"/>
      <c r="N95" s="3260"/>
      <c r="O95" s="2620" t="s">
        <v>1644</v>
      </c>
      <c r="Q95" s="3360">
        <v>2673868668</v>
      </c>
      <c r="R95" s="3361"/>
      <c r="S95" s="3362"/>
      <c r="Z95" s="1773">
        <v>95</v>
      </c>
    </row>
    <row r="96" spans="2:26" s="289" customFormat="1" ht="11.25" customHeight="1">
      <c r="D96" s="326"/>
      <c r="E96" s="2621" t="s">
        <v>1717</v>
      </c>
      <c r="H96" s="2694" t="s">
        <v>1305</v>
      </c>
      <c r="K96" s="916" t="s">
        <v>2128</v>
      </c>
      <c r="L96" s="3155">
        <v>191214495</v>
      </c>
      <c r="M96" s="3391"/>
      <c r="O96" s="2620" t="s">
        <v>1889</v>
      </c>
      <c r="Q96" s="3360"/>
      <c r="R96" s="3361"/>
      <c r="S96" s="3362"/>
      <c r="Z96" s="1773">
        <v>96</v>
      </c>
    </row>
    <row r="97" spans="2:26" s="289" customFormat="1" ht="11.25" customHeight="1">
      <c r="D97" s="326"/>
      <c r="E97" s="2621" t="s">
        <v>3613</v>
      </c>
      <c r="H97" s="3382">
        <v>2673868600</v>
      </c>
      <c r="I97" s="3387"/>
      <c r="J97" s="2759"/>
      <c r="K97" s="2629" t="s">
        <v>1894</v>
      </c>
      <c r="L97" s="3367" t="s">
        <v>6854</v>
      </c>
      <c r="M97" s="3257"/>
      <c r="N97" s="3177"/>
      <c r="O97" s="3177"/>
      <c r="P97" s="3177"/>
      <c r="Q97" s="3257"/>
      <c r="R97" s="3257"/>
      <c r="S97" s="3258"/>
      <c r="Z97" s="1773">
        <v>97</v>
      </c>
    </row>
    <row r="98" spans="2:26" ht="6.6" customHeight="1">
      <c r="H98" s="2760"/>
      <c r="I98" s="2760"/>
      <c r="J98" s="2760"/>
      <c r="K98" s="2629"/>
      <c r="L98" s="2760"/>
      <c r="M98" s="2760"/>
      <c r="N98" s="2618"/>
      <c r="O98" s="2761"/>
      <c r="P98" s="2761"/>
      <c r="Q98" s="2629"/>
      <c r="R98" s="2761"/>
      <c r="S98" s="2761"/>
      <c r="Z98" s="1773">
        <v>98</v>
      </c>
    </row>
    <row r="99" spans="2:26" s="289" customFormat="1" ht="11.25" customHeight="1">
      <c r="B99" s="291" t="s">
        <v>2021</v>
      </c>
      <c r="C99" s="291" t="s">
        <v>278</v>
      </c>
      <c r="H99" s="3384" t="s">
        <v>6906</v>
      </c>
      <c r="I99" s="3385"/>
      <c r="J99" s="3385"/>
      <c r="K99" s="3385"/>
      <c r="L99" s="3385"/>
      <c r="M99" s="3385"/>
      <c r="N99" s="3386"/>
      <c r="O99" s="2620" t="s">
        <v>1899</v>
      </c>
      <c r="P99" s="2620"/>
      <c r="Q99" s="3384" t="s">
        <v>6908</v>
      </c>
      <c r="R99" s="3385"/>
      <c r="S99" s="3386"/>
      <c r="Z99" s="1773">
        <v>99</v>
      </c>
    </row>
    <row r="100" spans="2:26" s="289" customFormat="1" ht="11.25" customHeight="1">
      <c r="D100" s="326"/>
      <c r="E100" s="2621" t="s">
        <v>982</v>
      </c>
      <c r="F100" s="301"/>
      <c r="H100" s="3145" t="s">
        <v>6907</v>
      </c>
      <c r="I100" s="3388"/>
      <c r="J100" s="3388"/>
      <c r="K100" s="3389"/>
      <c r="L100" s="3388"/>
      <c r="M100" s="3388"/>
      <c r="N100" s="3390"/>
      <c r="O100" s="2620" t="s">
        <v>1668</v>
      </c>
      <c r="Q100" s="3167" t="s">
        <v>2362</v>
      </c>
      <c r="R100" s="3247"/>
      <c r="S100" s="3248"/>
      <c r="Z100" s="1773">
        <v>100</v>
      </c>
    </row>
    <row r="101" spans="2:26" s="289" customFormat="1" ht="11.25" customHeight="1">
      <c r="D101" s="326"/>
      <c r="E101" s="2621" t="s">
        <v>588</v>
      </c>
      <c r="H101" s="3145" t="s">
        <v>6897</v>
      </c>
      <c r="I101" s="3389"/>
      <c r="J101" s="3260"/>
      <c r="K101" s="2623" t="s">
        <v>2553</v>
      </c>
      <c r="L101" s="3145"/>
      <c r="M101" s="3388"/>
      <c r="N101" s="3260"/>
      <c r="O101" s="2620" t="s">
        <v>1644</v>
      </c>
      <c r="Q101" s="3360">
        <v>2158259740</v>
      </c>
      <c r="R101" s="3361"/>
      <c r="S101" s="3362"/>
      <c r="Z101" s="1773">
        <v>101</v>
      </c>
    </row>
    <row r="102" spans="2:26" s="289" customFormat="1" ht="11.25" customHeight="1">
      <c r="D102" s="326"/>
      <c r="E102" s="2621" t="s">
        <v>1717</v>
      </c>
      <c r="H102" s="2694" t="s">
        <v>1305</v>
      </c>
      <c r="K102" s="916" t="s">
        <v>2128</v>
      </c>
      <c r="L102" s="3155"/>
      <c r="M102" s="3391"/>
      <c r="O102" s="2620" t="s">
        <v>1889</v>
      </c>
      <c r="Q102" s="3360"/>
      <c r="R102" s="3361"/>
      <c r="S102" s="3362"/>
      <c r="Z102" s="1773">
        <v>102</v>
      </c>
    </row>
    <row r="103" spans="2:26" ht="11.25" customHeight="1">
      <c r="E103" s="2621" t="s">
        <v>3613</v>
      </c>
      <c r="F103" s="289"/>
      <c r="G103" s="289"/>
      <c r="H103" s="3382">
        <v>9014357700</v>
      </c>
      <c r="I103" s="3387"/>
      <c r="J103" s="2759"/>
      <c r="K103" s="2629" t="s">
        <v>1894</v>
      </c>
      <c r="L103" s="3367"/>
      <c r="M103" s="3257"/>
      <c r="N103" s="3177"/>
      <c r="O103" s="3177"/>
      <c r="P103" s="3177"/>
      <c r="Q103" s="3257"/>
      <c r="R103" s="3257"/>
      <c r="S103" s="3258"/>
      <c r="Z103" s="1773">
        <v>103</v>
      </c>
    </row>
    <row r="104" spans="2:26" ht="6" customHeight="1">
      <c r="E104" s="2621"/>
      <c r="F104" s="289"/>
      <c r="G104" s="2628"/>
      <c r="H104" s="2760"/>
      <c r="I104" s="2760"/>
      <c r="J104" s="2760"/>
      <c r="K104" s="2629"/>
      <c r="L104" s="2760"/>
      <c r="M104" s="2760"/>
      <c r="N104" s="2618"/>
      <c r="O104" s="2761"/>
      <c r="P104" s="2761"/>
      <c r="Q104" s="2629"/>
      <c r="R104" s="2761"/>
      <c r="S104" s="2761"/>
      <c r="Z104" s="1773">
        <v>104</v>
      </c>
    </row>
    <row r="105" spans="2:26" s="289" customFormat="1" ht="11.25" customHeight="1">
      <c r="B105" s="291" t="s">
        <v>1656</v>
      </c>
      <c r="C105" s="291" t="s">
        <v>279</v>
      </c>
      <c r="H105" s="3384" t="s">
        <v>6909</v>
      </c>
      <c r="I105" s="3385"/>
      <c r="J105" s="3385"/>
      <c r="K105" s="3385"/>
      <c r="L105" s="3385"/>
      <c r="M105" s="3385"/>
      <c r="N105" s="3386"/>
      <c r="O105" s="2620" t="s">
        <v>1899</v>
      </c>
      <c r="P105" s="2620"/>
      <c r="Q105" s="3384" t="s">
        <v>6912</v>
      </c>
      <c r="R105" s="3385"/>
      <c r="S105" s="3386"/>
      <c r="Z105" s="1773">
        <v>105</v>
      </c>
    </row>
    <row r="106" spans="2:26" s="289" customFormat="1" ht="11.25" customHeight="1">
      <c r="D106" s="326"/>
      <c r="E106" s="2621" t="s">
        <v>982</v>
      </c>
      <c r="F106" s="301"/>
      <c r="H106" s="3145" t="s">
        <v>6910</v>
      </c>
      <c r="I106" s="3388"/>
      <c r="J106" s="3388"/>
      <c r="K106" s="3389"/>
      <c r="L106" s="3388"/>
      <c r="M106" s="3388"/>
      <c r="N106" s="3390"/>
      <c r="O106" s="2620" t="s">
        <v>1668</v>
      </c>
      <c r="Q106" s="3167" t="s">
        <v>2362</v>
      </c>
      <c r="R106" s="3247"/>
      <c r="S106" s="3248"/>
      <c r="Z106" s="1773">
        <v>106</v>
      </c>
    </row>
    <row r="107" spans="2:26" s="289" customFormat="1" ht="11.25" customHeight="1">
      <c r="D107" s="326"/>
      <c r="E107" s="2621" t="s">
        <v>588</v>
      </c>
      <c r="H107" s="3145" t="s">
        <v>6911</v>
      </c>
      <c r="I107" s="3389"/>
      <c r="J107" s="3260"/>
      <c r="K107" s="2623" t="s">
        <v>2553</v>
      </c>
      <c r="L107" s="3145" t="s">
        <v>6913</v>
      </c>
      <c r="M107" s="3388"/>
      <c r="N107" s="3260"/>
      <c r="O107" s="2620" t="s">
        <v>1644</v>
      </c>
      <c r="Q107" s="3360">
        <v>4103362554</v>
      </c>
      <c r="R107" s="3361"/>
      <c r="S107" s="3362"/>
      <c r="Z107" s="1773">
        <v>107</v>
      </c>
    </row>
    <row r="108" spans="2:26" s="289" customFormat="1" ht="11.25" customHeight="1">
      <c r="D108" s="326"/>
      <c r="E108" s="2621" t="s">
        <v>1717</v>
      </c>
      <c r="H108" s="2694" t="s">
        <v>825</v>
      </c>
      <c r="K108" s="916" t="s">
        <v>2128</v>
      </c>
      <c r="L108" s="3155">
        <v>212023100</v>
      </c>
      <c r="M108" s="3391"/>
      <c r="O108" s="2620" t="s">
        <v>1889</v>
      </c>
      <c r="Q108" s="3360">
        <v>4103362554</v>
      </c>
      <c r="R108" s="3361"/>
      <c r="S108" s="3362"/>
      <c r="Z108" s="1773">
        <v>108</v>
      </c>
    </row>
    <row r="109" spans="2:26" ht="11.25" customHeight="1">
      <c r="E109" s="2621" t="s">
        <v>3613</v>
      </c>
      <c r="F109" s="289"/>
      <c r="G109" s="289"/>
      <c r="H109" s="3382">
        <v>4107834900</v>
      </c>
      <c r="I109" s="3387"/>
      <c r="J109" s="2759"/>
      <c r="K109" s="2629" t="s">
        <v>1894</v>
      </c>
      <c r="L109" s="3367" t="s">
        <v>6914</v>
      </c>
      <c r="M109" s="3257"/>
      <c r="N109" s="3177"/>
      <c r="O109" s="3177"/>
      <c r="P109" s="3177"/>
      <c r="Q109" s="3257"/>
      <c r="R109" s="3257"/>
      <c r="S109" s="3258"/>
      <c r="Z109" s="1773">
        <v>109</v>
      </c>
    </row>
    <row r="110" spans="2:26" ht="6.6" customHeight="1">
      <c r="E110" s="2621"/>
      <c r="F110" s="289"/>
      <c r="G110" s="2628"/>
      <c r="H110" s="2760"/>
      <c r="I110" s="2760"/>
      <c r="J110" s="2760"/>
      <c r="K110" s="2629"/>
      <c r="L110" s="2760"/>
      <c r="M110" s="2760"/>
      <c r="N110" s="2618"/>
      <c r="O110" s="2761"/>
      <c r="P110" s="2761"/>
      <c r="Q110" s="2629"/>
      <c r="R110" s="2761"/>
      <c r="S110" s="2761"/>
      <c r="Z110" s="1773">
        <v>110</v>
      </c>
    </row>
    <row r="111" spans="2:26" s="289" customFormat="1" ht="11.25" customHeight="1">
      <c r="B111" s="291" t="s">
        <v>1657</v>
      </c>
      <c r="C111" s="291" t="s">
        <v>280</v>
      </c>
      <c r="H111" s="3384" t="s">
        <v>6915</v>
      </c>
      <c r="I111" s="3385"/>
      <c r="J111" s="3385"/>
      <c r="K111" s="3385"/>
      <c r="L111" s="3385"/>
      <c r="M111" s="3385"/>
      <c r="N111" s="3386"/>
      <c r="O111" s="2620" t="s">
        <v>1899</v>
      </c>
      <c r="P111" s="2620"/>
      <c r="Q111" s="3384" t="s">
        <v>6917</v>
      </c>
      <c r="R111" s="3385"/>
      <c r="S111" s="3386"/>
      <c r="Z111" s="1773">
        <v>111</v>
      </c>
    </row>
    <row r="112" spans="2:26" s="289" customFormat="1" ht="11.25" customHeight="1">
      <c r="D112" s="326"/>
      <c r="E112" s="2621" t="s">
        <v>982</v>
      </c>
      <c r="F112" s="301"/>
      <c r="H112" s="3145" t="s">
        <v>6916</v>
      </c>
      <c r="I112" s="3388"/>
      <c r="J112" s="3388"/>
      <c r="K112" s="3389"/>
      <c r="L112" s="3388"/>
      <c r="M112" s="3388"/>
      <c r="N112" s="3390"/>
      <c r="O112" s="2620" t="s">
        <v>1668</v>
      </c>
      <c r="Q112" s="3167" t="s">
        <v>2362</v>
      </c>
      <c r="R112" s="3247"/>
      <c r="S112" s="3248"/>
      <c r="Z112" s="1773">
        <v>112</v>
      </c>
    </row>
    <row r="113" spans="1:26" s="289" customFormat="1" ht="11.25" customHeight="1">
      <c r="D113" s="326"/>
      <c r="E113" s="2621" t="s">
        <v>588</v>
      </c>
      <c r="H113" s="3145" t="s">
        <v>6918</v>
      </c>
      <c r="I113" s="3389"/>
      <c r="J113" s="3260"/>
      <c r="K113" s="2623" t="s">
        <v>2553</v>
      </c>
      <c r="L113" s="3145" t="s">
        <v>6919</v>
      </c>
      <c r="M113" s="3388"/>
      <c r="N113" s="3260"/>
      <c r="O113" s="2620" t="s">
        <v>1644</v>
      </c>
      <c r="Q113" s="3360">
        <v>8565592063</v>
      </c>
      <c r="R113" s="3361"/>
      <c r="S113" s="3362"/>
      <c r="Z113" s="1773">
        <v>113</v>
      </c>
    </row>
    <row r="114" spans="1:26" s="289" customFormat="1" ht="11.25" customHeight="1">
      <c r="D114" s="330"/>
      <c r="E114" s="2621" t="s">
        <v>1717</v>
      </c>
      <c r="H114" s="2694" t="s">
        <v>1297</v>
      </c>
      <c r="K114" s="916" t="s">
        <v>2128</v>
      </c>
      <c r="L114" s="3155">
        <v>81083712</v>
      </c>
      <c r="M114" s="3391"/>
      <c r="O114" s="2620" t="s">
        <v>1889</v>
      </c>
      <c r="Q114" s="3360"/>
      <c r="R114" s="3361"/>
      <c r="S114" s="3362"/>
      <c r="Z114" s="1773">
        <v>114</v>
      </c>
    </row>
    <row r="115" spans="1:26" s="289" customFormat="1" ht="11.25" customHeight="1">
      <c r="D115" s="330"/>
      <c r="E115" s="2621" t="s">
        <v>3613</v>
      </c>
      <c r="H115" s="3382">
        <v>8568541880</v>
      </c>
      <c r="I115" s="3387"/>
      <c r="J115" s="2759"/>
      <c r="K115" s="2629" t="s">
        <v>1894</v>
      </c>
      <c r="L115" s="3367" t="s">
        <v>6920</v>
      </c>
      <c r="M115" s="3257"/>
      <c r="N115" s="3177"/>
      <c r="O115" s="3177"/>
      <c r="P115" s="3177"/>
      <c r="Q115" s="3257"/>
      <c r="R115" s="3257"/>
      <c r="S115" s="3258"/>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6778</v>
      </c>
      <c r="H120" s="3384" t="s">
        <v>931</v>
      </c>
      <c r="I120" s="3405"/>
      <c r="J120" s="3406"/>
      <c r="K120" s="2629" t="s">
        <v>1716</v>
      </c>
      <c r="L120" s="3384"/>
      <c r="M120" s="3385"/>
      <c r="N120" s="3386"/>
      <c r="O120" s="2621" t="s">
        <v>3261</v>
      </c>
      <c r="Q120" s="3398"/>
      <c r="R120" s="3399"/>
      <c r="S120" s="3400"/>
      <c r="Z120" s="1773">
        <v>120</v>
      </c>
    </row>
    <row r="121" spans="1:26" s="289" customFormat="1" ht="11.25" customHeight="1">
      <c r="C121" s="291"/>
      <c r="D121" s="326"/>
      <c r="E121" s="2621" t="s">
        <v>6486</v>
      </c>
      <c r="F121" s="301"/>
      <c r="H121" s="3249"/>
      <c r="I121" s="3401"/>
      <c r="J121" s="3402"/>
      <c r="K121" s="3250"/>
      <c r="L121" s="3401"/>
      <c r="M121" s="3401"/>
      <c r="N121" s="3403"/>
      <c r="O121" s="2621" t="s">
        <v>588</v>
      </c>
      <c r="Q121" s="3404"/>
      <c r="R121" s="3253"/>
      <c r="S121" s="3254"/>
      <c r="Z121" s="1773">
        <v>121</v>
      </c>
    </row>
    <row r="122" spans="1:26" s="289" customFormat="1" ht="11.25" customHeight="1">
      <c r="C122" s="291"/>
      <c r="D122" s="326"/>
      <c r="E122" s="2621" t="s">
        <v>1717</v>
      </c>
      <c r="H122" s="2764"/>
      <c r="I122" s="916" t="s">
        <v>2128</v>
      </c>
      <c r="J122" s="3259"/>
      <c r="K122" s="3260"/>
      <c r="L122" s="2629" t="s">
        <v>1894</v>
      </c>
      <c r="M122" s="3176"/>
      <c r="N122" s="3177"/>
      <c r="O122" s="3177"/>
      <c r="P122" s="3177"/>
      <c r="Q122" s="3257"/>
      <c r="R122" s="3257"/>
      <c r="S122" s="3258"/>
      <c r="Z122" s="1773">
        <v>122</v>
      </c>
    </row>
    <row r="123" spans="1:26" ht="2.25" customHeight="1">
      <c r="C123" s="315"/>
      <c r="Z123" s="1773">
        <v>123</v>
      </c>
    </row>
    <row r="124" spans="1:26" s="289" customFormat="1" ht="11.25" hidden="1" customHeight="1">
      <c r="C124" s="1750"/>
      <c r="D124" s="289" t="s">
        <v>6779</v>
      </c>
      <c r="H124" s="3384"/>
      <c r="I124" s="3405"/>
      <c r="J124" s="3406"/>
      <c r="K124" s="2629" t="s">
        <v>1716</v>
      </c>
      <c r="L124" s="3384"/>
      <c r="M124" s="3385"/>
      <c r="N124" s="3386"/>
      <c r="O124" s="2621" t="s">
        <v>3261</v>
      </c>
      <c r="Q124" s="3398"/>
      <c r="R124" s="3399"/>
      <c r="S124" s="3400"/>
      <c r="Z124" s="1773">
        <v>124</v>
      </c>
    </row>
    <row r="125" spans="1:26" s="289" customFormat="1" ht="11.25" hidden="1" customHeight="1">
      <c r="C125" s="291"/>
      <c r="D125" s="326"/>
      <c r="E125" s="2621" t="s">
        <v>6486</v>
      </c>
      <c r="F125" s="301"/>
      <c r="H125" s="3249"/>
      <c r="I125" s="3401"/>
      <c r="J125" s="3402"/>
      <c r="K125" s="3250"/>
      <c r="L125" s="3401"/>
      <c r="M125" s="3401"/>
      <c r="N125" s="3403"/>
      <c r="O125" s="2621" t="s">
        <v>588</v>
      </c>
      <c r="Q125" s="3404"/>
      <c r="R125" s="3253"/>
      <c r="S125" s="3254"/>
      <c r="Z125" s="1773">
        <v>125</v>
      </c>
    </row>
    <row r="126" spans="1:26" s="289" customFormat="1" ht="11.25" hidden="1" customHeight="1">
      <c r="C126" s="291"/>
      <c r="D126" s="326"/>
      <c r="E126" s="2621" t="s">
        <v>1717</v>
      </c>
      <c r="H126" s="2764"/>
      <c r="I126" s="916" t="s">
        <v>2128</v>
      </c>
      <c r="J126" s="3259"/>
      <c r="K126" s="3260"/>
      <c r="L126" s="2629" t="s">
        <v>1894</v>
      </c>
      <c r="M126" s="3176"/>
      <c r="N126" s="3177"/>
      <c r="O126" s="3177"/>
      <c r="P126" s="3177"/>
      <c r="Q126" s="3257"/>
      <c r="R126" s="3257"/>
      <c r="S126" s="3258"/>
      <c r="Z126" s="1773">
        <v>126</v>
      </c>
    </row>
    <row r="127" spans="1:26" ht="2.25" hidden="1" customHeight="1">
      <c r="C127" s="315"/>
      <c r="Z127" s="1773">
        <v>127</v>
      </c>
    </row>
    <row r="128" spans="1:26" s="289" customFormat="1" ht="11.25" hidden="1" customHeight="1">
      <c r="C128" s="1750"/>
      <c r="D128" s="289" t="s">
        <v>6612</v>
      </c>
      <c r="H128" s="3384"/>
      <c r="I128" s="3405"/>
      <c r="J128" s="3406"/>
      <c r="K128" s="2629" t="s">
        <v>1716</v>
      </c>
      <c r="L128" s="3384"/>
      <c r="M128" s="3385"/>
      <c r="N128" s="3386"/>
      <c r="O128" s="2621" t="s">
        <v>3261</v>
      </c>
      <c r="Q128" s="3398"/>
      <c r="R128" s="3399"/>
      <c r="S128" s="3400"/>
      <c r="Z128" s="1773">
        <v>128</v>
      </c>
    </row>
    <row r="129" spans="3:26" s="289" customFormat="1" ht="11.25" hidden="1" customHeight="1">
      <c r="C129" s="291"/>
      <c r="D129" s="326"/>
      <c r="E129" s="2621" t="s">
        <v>6486</v>
      </c>
      <c r="F129" s="301"/>
      <c r="H129" s="3249"/>
      <c r="I129" s="3401"/>
      <c r="J129" s="3402"/>
      <c r="K129" s="3250"/>
      <c r="L129" s="3401"/>
      <c r="M129" s="3401"/>
      <c r="N129" s="3403"/>
      <c r="O129" s="2621" t="s">
        <v>588</v>
      </c>
      <c r="Q129" s="3404"/>
      <c r="R129" s="3253"/>
      <c r="S129" s="3254"/>
      <c r="Z129" s="1773">
        <v>129</v>
      </c>
    </row>
    <row r="130" spans="3:26" s="289" customFormat="1" ht="11.25" hidden="1" customHeight="1">
      <c r="C130" s="291"/>
      <c r="D130" s="326"/>
      <c r="E130" s="2621" t="s">
        <v>1717</v>
      </c>
      <c r="H130" s="2764"/>
      <c r="I130" s="916" t="s">
        <v>2128</v>
      </c>
      <c r="J130" s="3259"/>
      <c r="K130" s="3260"/>
      <c r="L130" s="2629" t="s">
        <v>1894</v>
      </c>
      <c r="M130" s="3176"/>
      <c r="N130" s="3177"/>
      <c r="O130" s="3177"/>
      <c r="P130" s="3177"/>
      <c r="Q130" s="3257"/>
      <c r="R130" s="3257"/>
      <c r="S130" s="3258"/>
      <c r="Z130" s="1773">
        <v>130</v>
      </c>
    </row>
    <row r="131" spans="3:26" ht="2.25" hidden="1" customHeight="1">
      <c r="C131" s="315"/>
      <c r="Z131" s="1773">
        <v>131</v>
      </c>
    </row>
    <row r="132" spans="3:26" s="289" customFormat="1" ht="11.25" hidden="1" customHeight="1">
      <c r="C132" s="1750"/>
      <c r="D132" s="289" t="s">
        <v>6789</v>
      </c>
      <c r="H132" s="3384"/>
      <c r="I132" s="3405"/>
      <c r="J132" s="3406"/>
      <c r="K132" s="2629" t="s">
        <v>1716</v>
      </c>
      <c r="L132" s="3384"/>
      <c r="M132" s="3385"/>
      <c r="N132" s="3386"/>
      <c r="O132" s="2621" t="s">
        <v>3261</v>
      </c>
      <c r="Q132" s="3398"/>
      <c r="R132" s="3399"/>
      <c r="S132" s="3400"/>
      <c r="Z132" s="1773">
        <v>132</v>
      </c>
    </row>
    <row r="133" spans="3:26" s="289" customFormat="1" ht="11.25" hidden="1" customHeight="1">
      <c r="C133" s="291"/>
      <c r="D133" s="326"/>
      <c r="E133" s="2621" t="s">
        <v>6486</v>
      </c>
      <c r="F133" s="301"/>
      <c r="H133" s="3249"/>
      <c r="I133" s="3401"/>
      <c r="J133" s="3402"/>
      <c r="K133" s="3250"/>
      <c r="L133" s="3401"/>
      <c r="M133" s="3401"/>
      <c r="N133" s="3403"/>
      <c r="O133" s="2621" t="s">
        <v>588</v>
      </c>
      <c r="Q133" s="3404"/>
      <c r="R133" s="3253"/>
      <c r="S133" s="3254"/>
      <c r="Z133" s="1773">
        <v>133</v>
      </c>
    </row>
    <row r="134" spans="3:26" s="289" customFormat="1" ht="11.25" hidden="1" customHeight="1">
      <c r="C134" s="291"/>
      <c r="D134" s="326"/>
      <c r="E134" s="2621" t="s">
        <v>1717</v>
      </c>
      <c r="H134" s="2764"/>
      <c r="I134" s="916" t="s">
        <v>2128</v>
      </c>
      <c r="J134" s="3259"/>
      <c r="K134" s="3260"/>
      <c r="L134" s="2629" t="s">
        <v>1894</v>
      </c>
      <c r="M134" s="3176"/>
      <c r="N134" s="3177"/>
      <c r="O134" s="3177"/>
      <c r="P134" s="3177"/>
      <c r="Q134" s="3257"/>
      <c r="R134" s="3257"/>
      <c r="S134" s="3258"/>
      <c r="Z134" s="1773">
        <v>134</v>
      </c>
    </row>
    <row r="135" spans="3:26" ht="2.25" hidden="1" customHeight="1">
      <c r="C135" s="315"/>
      <c r="Z135" s="1773">
        <v>135</v>
      </c>
    </row>
    <row r="136" spans="3:26" s="289" customFormat="1" ht="11.25" hidden="1" customHeight="1">
      <c r="C136" s="1750"/>
      <c r="D136" s="289" t="s">
        <v>6790</v>
      </c>
      <c r="H136" s="3384"/>
      <c r="I136" s="3405"/>
      <c r="J136" s="3406"/>
      <c r="K136" s="2629" t="s">
        <v>1716</v>
      </c>
      <c r="L136" s="3384"/>
      <c r="M136" s="3385"/>
      <c r="N136" s="3386"/>
      <c r="O136" s="2621" t="s">
        <v>3261</v>
      </c>
      <c r="Q136" s="3398"/>
      <c r="R136" s="3399"/>
      <c r="S136" s="3400"/>
      <c r="Z136" s="1773">
        <v>136</v>
      </c>
    </row>
    <row r="137" spans="3:26" s="289" customFormat="1" ht="11.25" hidden="1" customHeight="1">
      <c r="C137" s="291"/>
      <c r="D137" s="326"/>
      <c r="E137" s="2621" t="s">
        <v>6486</v>
      </c>
      <c r="F137" s="301"/>
      <c r="H137" s="3249"/>
      <c r="I137" s="3401"/>
      <c r="J137" s="3402"/>
      <c r="K137" s="3250"/>
      <c r="L137" s="3401"/>
      <c r="M137" s="3401"/>
      <c r="N137" s="3403"/>
      <c r="O137" s="2621" t="s">
        <v>588</v>
      </c>
      <c r="Q137" s="3404"/>
      <c r="R137" s="3253"/>
      <c r="S137" s="3254"/>
      <c r="Z137" s="1773">
        <v>137</v>
      </c>
    </row>
    <row r="138" spans="3:26" s="289" customFormat="1" ht="11.25" hidden="1" customHeight="1">
      <c r="C138" s="291"/>
      <c r="D138" s="326"/>
      <c r="E138" s="2621" t="s">
        <v>1717</v>
      </c>
      <c r="H138" s="2764"/>
      <c r="I138" s="916" t="s">
        <v>2128</v>
      </c>
      <c r="J138" s="3259"/>
      <c r="K138" s="3260"/>
      <c r="L138" s="2629" t="s">
        <v>1894</v>
      </c>
      <c r="M138" s="3176"/>
      <c r="N138" s="3177"/>
      <c r="O138" s="3177"/>
      <c r="P138" s="3177"/>
      <c r="Q138" s="3257"/>
      <c r="R138" s="3257"/>
      <c r="S138" s="3258"/>
      <c r="Z138" s="1773">
        <v>138</v>
      </c>
    </row>
    <row r="139" spans="3:26" ht="2.25" hidden="1" customHeight="1">
      <c r="C139" s="315"/>
      <c r="Z139" s="1773">
        <v>139</v>
      </c>
    </row>
    <row r="140" spans="3:26" s="289" customFormat="1" ht="11.25" hidden="1" customHeight="1">
      <c r="C140" s="1750"/>
      <c r="D140" s="289" t="s">
        <v>6791</v>
      </c>
      <c r="H140" s="3384"/>
      <c r="I140" s="3405"/>
      <c r="J140" s="3406"/>
      <c r="K140" s="2629" t="s">
        <v>1716</v>
      </c>
      <c r="L140" s="3384"/>
      <c r="M140" s="3385"/>
      <c r="N140" s="3386"/>
      <c r="O140" s="2621" t="s">
        <v>3261</v>
      </c>
      <c r="Q140" s="3398"/>
      <c r="R140" s="3399"/>
      <c r="S140" s="3400"/>
      <c r="Z140" s="1773">
        <v>140</v>
      </c>
    </row>
    <row r="141" spans="3:26" s="289" customFormat="1" ht="11.25" hidden="1" customHeight="1">
      <c r="C141" s="291"/>
      <c r="D141" s="326"/>
      <c r="E141" s="2621" t="s">
        <v>6486</v>
      </c>
      <c r="F141" s="301"/>
      <c r="H141" s="3249"/>
      <c r="I141" s="3401"/>
      <c r="J141" s="3402"/>
      <c r="K141" s="3250"/>
      <c r="L141" s="3401"/>
      <c r="M141" s="3401"/>
      <c r="N141" s="3403"/>
      <c r="O141" s="2621" t="s">
        <v>588</v>
      </c>
      <c r="Q141" s="3404"/>
      <c r="R141" s="3253"/>
      <c r="S141" s="3254"/>
      <c r="Z141" s="1773">
        <v>141</v>
      </c>
    </row>
    <row r="142" spans="3:26" s="289" customFormat="1" ht="11.25" hidden="1" customHeight="1">
      <c r="C142" s="291"/>
      <c r="D142" s="326"/>
      <c r="E142" s="2621" t="s">
        <v>1717</v>
      </c>
      <c r="H142" s="2764"/>
      <c r="I142" s="916" t="s">
        <v>2128</v>
      </c>
      <c r="J142" s="3259"/>
      <c r="K142" s="3260"/>
      <c r="L142" s="2629" t="s">
        <v>1894</v>
      </c>
      <c r="M142" s="3176"/>
      <c r="N142" s="3177"/>
      <c r="O142" s="3177"/>
      <c r="P142" s="3177"/>
      <c r="Q142" s="3257"/>
      <c r="R142" s="3257"/>
      <c r="S142" s="3258"/>
      <c r="Z142" s="1773">
        <v>142</v>
      </c>
    </row>
    <row r="143" spans="3:26" ht="2.25" hidden="1" customHeight="1">
      <c r="C143" s="315"/>
      <c r="Z143" s="1773">
        <v>143</v>
      </c>
    </row>
    <row r="144" spans="3:26" s="289" customFormat="1" ht="11.25" customHeight="1">
      <c r="C144" s="1750" t="s">
        <v>1898</v>
      </c>
      <c r="D144" s="289" t="s">
        <v>6776</v>
      </c>
      <c r="H144" s="3384" t="s">
        <v>375</v>
      </c>
      <c r="I144" s="3405"/>
      <c r="J144" s="3406"/>
      <c r="K144" s="2629" t="s">
        <v>1716</v>
      </c>
      <c r="L144" s="3384" t="s">
        <v>6878</v>
      </c>
      <c r="M144" s="3385"/>
      <c r="N144" s="3386"/>
      <c r="O144" s="2621" t="s">
        <v>3261</v>
      </c>
      <c r="Q144" s="3398">
        <v>7705361294</v>
      </c>
      <c r="R144" s="3399"/>
      <c r="S144" s="3400"/>
      <c r="Z144" s="1773">
        <v>144</v>
      </c>
    </row>
    <row r="145" spans="1:26" s="289" customFormat="1" ht="11.25" customHeight="1">
      <c r="C145" s="291"/>
      <c r="D145" s="326"/>
      <c r="E145" s="2621" t="s">
        <v>6486</v>
      </c>
      <c r="F145" s="301"/>
      <c r="H145" s="3249" t="s">
        <v>6877</v>
      </c>
      <c r="I145" s="3401"/>
      <c r="J145" s="3402"/>
      <c r="K145" s="3250"/>
      <c r="L145" s="3401"/>
      <c r="M145" s="3401"/>
      <c r="N145" s="3403"/>
      <c r="O145" s="2621" t="s">
        <v>588</v>
      </c>
      <c r="Q145" s="3404" t="s">
        <v>2070</v>
      </c>
      <c r="R145" s="3253"/>
      <c r="S145" s="3254"/>
      <c r="Z145" s="1773">
        <v>145</v>
      </c>
    </row>
    <row r="146" spans="1:26" s="289" customFormat="1" ht="11.25" customHeight="1">
      <c r="C146" s="291"/>
      <c r="D146" s="326"/>
      <c r="E146" s="2621" t="s">
        <v>1717</v>
      </c>
      <c r="H146" s="2764" t="s">
        <v>815</v>
      </c>
      <c r="I146" s="916" t="s">
        <v>2128</v>
      </c>
      <c r="J146" s="3259">
        <v>300756500</v>
      </c>
      <c r="K146" s="3260"/>
      <c r="L146" s="2629" t="s">
        <v>1894</v>
      </c>
      <c r="M146" s="3176" t="s">
        <v>6881</v>
      </c>
      <c r="N146" s="3177"/>
      <c r="O146" s="3177"/>
      <c r="P146" s="3177"/>
      <c r="Q146" s="3257"/>
      <c r="R146" s="3257"/>
      <c r="S146" s="3258"/>
      <c r="Z146" s="1773">
        <v>146</v>
      </c>
    </row>
    <row r="147" spans="1:26" ht="2.25" customHeight="1">
      <c r="C147" s="315"/>
      <c r="Z147" s="1773">
        <v>147</v>
      </c>
    </row>
    <row r="148" spans="1:26" s="289" customFormat="1" ht="11.25" customHeight="1">
      <c r="C148" s="1750" t="s">
        <v>2416</v>
      </c>
      <c r="D148" s="289" t="s">
        <v>6777</v>
      </c>
      <c r="H148" s="3384" t="s">
        <v>931</v>
      </c>
      <c r="I148" s="3405"/>
      <c r="J148" s="3406"/>
      <c r="K148" s="2629" t="s">
        <v>1716</v>
      </c>
      <c r="L148" s="3384"/>
      <c r="M148" s="3385"/>
      <c r="N148" s="3386"/>
      <c r="O148" s="2621" t="s">
        <v>3261</v>
      </c>
      <c r="Q148" s="3398"/>
      <c r="R148" s="3399"/>
      <c r="S148" s="3400"/>
      <c r="Z148" s="1773">
        <v>148</v>
      </c>
    </row>
    <row r="149" spans="1:26" s="289" customFormat="1" ht="11.25" customHeight="1">
      <c r="D149" s="326"/>
      <c r="E149" s="2621" t="s">
        <v>6486</v>
      </c>
      <c r="F149" s="301"/>
      <c r="H149" s="3249"/>
      <c r="I149" s="3401"/>
      <c r="J149" s="3402"/>
      <c r="K149" s="3250"/>
      <c r="L149" s="3401"/>
      <c r="M149" s="3401"/>
      <c r="N149" s="3403"/>
      <c r="O149" s="2621" t="s">
        <v>588</v>
      </c>
      <c r="Q149" s="3404"/>
      <c r="R149" s="3253"/>
      <c r="S149" s="3254"/>
      <c r="Z149" s="1773">
        <v>149</v>
      </c>
    </row>
    <row r="150" spans="1:26" s="289" customFormat="1" ht="11.25" customHeight="1">
      <c r="D150" s="326"/>
      <c r="E150" s="2621" t="s">
        <v>1717</v>
      </c>
      <c r="H150" s="2764"/>
      <c r="I150" s="916" t="s">
        <v>2128</v>
      </c>
      <c r="J150" s="3259"/>
      <c r="K150" s="3260"/>
      <c r="L150" s="2629" t="s">
        <v>1894</v>
      </c>
      <c r="M150" s="3176"/>
      <c r="N150" s="3177"/>
      <c r="O150" s="3177"/>
      <c r="P150" s="3177"/>
      <c r="Q150" s="3257"/>
      <c r="R150" s="3257"/>
      <c r="S150" s="3258"/>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464" t="s">
        <v>3435</v>
      </c>
      <c r="B153" s="3464"/>
      <c r="C153" s="3464"/>
      <c r="D153" s="3464"/>
      <c r="E153" s="3464"/>
      <c r="H153" s="2765" t="s">
        <v>2392</v>
      </c>
      <c r="I153" s="3458" t="s">
        <v>6792</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2631</v>
      </c>
      <c r="E154" s="320"/>
      <c r="H154" s="2766" t="s">
        <v>2772</v>
      </c>
      <c r="I154" s="3374"/>
      <c r="J154" s="3375"/>
      <c r="K154" s="3375"/>
      <c r="L154" s="3375"/>
      <c r="M154" s="3375"/>
      <c r="N154" s="3375"/>
      <c r="O154" s="3375"/>
      <c r="P154" s="3375"/>
      <c r="Q154" s="3375"/>
      <c r="R154" s="3375"/>
      <c r="S154" s="3376"/>
      <c r="U154" s="3377" t="s">
        <v>1940</v>
      </c>
      <c r="V154" s="3377"/>
      <c r="Z154" s="1773">
        <v>154</v>
      </c>
    </row>
    <row r="155" spans="1:26" s="289" customFormat="1" ht="21" customHeight="1" thickBot="1">
      <c r="B155" s="550" t="s">
        <v>1898</v>
      </c>
      <c r="C155" s="469" t="s">
        <v>6484</v>
      </c>
      <c r="E155" s="320"/>
      <c r="H155" s="2766" t="s">
        <v>2769</v>
      </c>
      <c r="I155" s="3371" t="s">
        <v>6923</v>
      </c>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2670</v>
      </c>
      <c r="E156" s="320"/>
      <c r="H156" s="2766" t="s">
        <v>2772</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2632</v>
      </c>
      <c r="E157" s="320"/>
      <c r="H157" s="2766" t="s">
        <v>2772</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3195</v>
      </c>
      <c r="E158" s="320"/>
      <c r="H158" s="2766" t="s">
        <v>2772</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3196</v>
      </c>
      <c r="E159" s="320"/>
      <c r="H159" s="2766" t="s">
        <v>2772</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2633</v>
      </c>
      <c r="E160" s="320"/>
      <c r="H160" s="2766" t="s">
        <v>2772</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4072</v>
      </c>
      <c r="E161" s="320"/>
      <c r="H161" s="2766" t="s">
        <v>2772</v>
      </c>
      <c r="I161" s="3371"/>
      <c r="J161" s="3372"/>
      <c r="K161" s="3372"/>
      <c r="L161" s="3372"/>
      <c r="M161" s="3372"/>
      <c r="N161" s="3372"/>
      <c r="O161" s="3372"/>
      <c r="P161" s="3372"/>
      <c r="Q161" s="3372"/>
      <c r="R161" s="3372"/>
      <c r="S161" s="3373"/>
      <c r="Z161" s="1773">
        <v>161</v>
      </c>
    </row>
    <row r="162" spans="1:26" s="289" customFormat="1" ht="21.95" customHeight="1" thickBot="1">
      <c r="B162" s="550" t="s">
        <v>4071</v>
      </c>
      <c r="C162" s="3461" t="s">
        <v>6921</v>
      </c>
      <c r="D162" s="3462"/>
      <c r="E162" s="3462"/>
      <c r="F162" s="3462"/>
      <c r="G162" s="3463"/>
      <c r="H162" s="2766" t="s">
        <v>2769</v>
      </c>
      <c r="I162" s="3368" t="s">
        <v>6922</v>
      </c>
      <c r="J162" s="3369"/>
      <c r="K162" s="3369"/>
      <c r="L162" s="3369"/>
      <c r="M162" s="3369"/>
      <c r="N162" s="3369"/>
      <c r="O162" s="3369"/>
      <c r="P162" s="3369"/>
      <c r="Q162" s="3369"/>
      <c r="R162" s="3369"/>
      <c r="S162" s="337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4061</v>
      </c>
      <c r="Z165" s="1773">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6793</v>
      </c>
      <c r="N166" s="3446"/>
      <c r="O166" s="3446"/>
      <c r="P166" s="3446"/>
      <c r="Q166" s="3446"/>
      <c r="R166" s="3446"/>
      <c r="S166" s="3447"/>
      <c r="Z166" s="1773">
        <v>166</v>
      </c>
    </row>
    <row r="167" spans="1:26" s="289" customFormat="1" ht="12.75" customHeight="1">
      <c r="A167" s="3430"/>
      <c r="B167" s="3211"/>
      <c r="C167" s="3211"/>
      <c r="D167" s="3211"/>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1"/>
      <c r="C168" s="3211"/>
      <c r="D168" s="3211"/>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1"/>
      <c r="C169" s="3211"/>
      <c r="D169" s="3211"/>
      <c r="E169" s="3451" t="s">
        <v>3348</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199" t="s">
        <v>2694</v>
      </c>
      <c r="O170" s="3199"/>
      <c r="P170" s="3199"/>
      <c r="Q170" s="3199"/>
      <c r="R170" s="3199"/>
      <c r="S170" s="3457"/>
      <c r="Z170" s="1773">
        <v>170</v>
      </c>
    </row>
    <row r="171" spans="1:26" s="289" customFormat="1" ht="23.25" customHeight="1">
      <c r="A171" s="3423" t="s">
        <v>3179</v>
      </c>
      <c r="B171" s="3424"/>
      <c r="C171" s="3424"/>
      <c r="D171" s="3425"/>
      <c r="E171" s="3426" t="s">
        <v>6924</v>
      </c>
      <c r="F171" s="3375"/>
      <c r="G171" s="3375"/>
      <c r="H171" s="3375"/>
      <c r="I171" s="2767" t="s">
        <v>2772</v>
      </c>
      <c r="J171" s="2768" t="s">
        <v>2772</v>
      </c>
      <c r="K171" s="2769" t="s">
        <v>6887</v>
      </c>
      <c r="L171" s="2770">
        <v>6.4999999999999994E-5</v>
      </c>
      <c r="M171" s="2771" t="s">
        <v>2772</v>
      </c>
      <c r="N171" s="3427"/>
      <c r="O171" s="3375"/>
      <c r="P171" s="3375"/>
      <c r="Q171" s="3375"/>
      <c r="R171" s="3375"/>
      <c r="S171" s="3376"/>
      <c r="Z171" s="1773">
        <v>171</v>
      </c>
    </row>
    <row r="172" spans="1:26" s="289" customFormat="1" ht="23.25" customHeight="1">
      <c r="A172" s="3418" t="s">
        <v>3180</v>
      </c>
      <c r="B172" s="3419"/>
      <c r="C172" s="3419"/>
      <c r="D172" s="3420"/>
      <c r="E172" s="3421" t="s">
        <v>375</v>
      </c>
      <c r="F172" s="3372"/>
      <c r="G172" s="3372"/>
      <c r="H172" s="3372"/>
      <c r="I172" s="2772" t="s">
        <v>2772</v>
      </c>
      <c r="J172" s="2773" t="s">
        <v>2772</v>
      </c>
      <c r="K172" s="2774" t="s">
        <v>2480</v>
      </c>
      <c r="L172" s="2775">
        <v>3.4999999999999997E-5</v>
      </c>
      <c r="M172" s="2776" t="s">
        <v>2772</v>
      </c>
      <c r="N172" s="3422"/>
      <c r="O172" s="3372"/>
      <c r="P172" s="3372"/>
      <c r="Q172" s="3372"/>
      <c r="R172" s="3372"/>
      <c r="S172" s="3373"/>
      <c r="U172" s="3377" t="s">
        <v>1940</v>
      </c>
      <c r="V172" s="3377"/>
      <c r="Z172" s="1773">
        <v>172</v>
      </c>
    </row>
    <row r="173" spans="1:26" s="289" customFormat="1" ht="23.25" customHeight="1">
      <c r="A173" s="3418" t="s">
        <v>3181</v>
      </c>
      <c r="B173" s="3419"/>
      <c r="C173" s="3419"/>
      <c r="D173" s="3420"/>
      <c r="E173" s="3421"/>
      <c r="F173" s="3372"/>
      <c r="G173" s="3372"/>
      <c r="H173" s="3372"/>
      <c r="I173" s="2772"/>
      <c r="J173" s="2773"/>
      <c r="K173" s="2774"/>
      <c r="L173" s="2775"/>
      <c r="M173" s="2776"/>
      <c r="N173" s="3422"/>
      <c r="O173" s="3372"/>
      <c r="P173" s="3372"/>
      <c r="Q173" s="3372"/>
      <c r="R173" s="3372"/>
      <c r="S173" s="3373"/>
      <c r="U173" s="3377"/>
      <c r="V173" s="3377"/>
      <c r="Z173" s="1773">
        <v>173</v>
      </c>
    </row>
    <row r="174" spans="1:26" s="289" customFormat="1" ht="23.25" customHeight="1">
      <c r="A174" s="3418" t="s">
        <v>3182</v>
      </c>
      <c r="B174" s="3419"/>
      <c r="C174" s="3419"/>
      <c r="D174" s="3420"/>
      <c r="E174" s="3421" t="s">
        <v>6889</v>
      </c>
      <c r="F174" s="3372"/>
      <c r="G174" s="3372"/>
      <c r="H174" s="3372"/>
      <c r="I174" s="2772" t="s">
        <v>2772</v>
      </c>
      <c r="J174" s="2773" t="s">
        <v>2772</v>
      </c>
      <c r="K174" s="2774" t="s">
        <v>6887</v>
      </c>
      <c r="L174" s="2775">
        <v>0.9899</v>
      </c>
      <c r="M174" s="2776" t="s">
        <v>2772</v>
      </c>
      <c r="N174" s="3422"/>
      <c r="O174" s="3372"/>
      <c r="P174" s="3372"/>
      <c r="Q174" s="3372"/>
      <c r="R174" s="3372"/>
      <c r="S174" s="3373"/>
      <c r="U174" s="3377"/>
      <c r="V174" s="3377"/>
      <c r="Z174" s="1773">
        <v>174</v>
      </c>
    </row>
    <row r="175" spans="1:26" s="289" customFormat="1" ht="23.25" customHeight="1">
      <c r="A175" s="3418" t="s">
        <v>3183</v>
      </c>
      <c r="B175" s="3419"/>
      <c r="C175" s="3419"/>
      <c r="D175" s="3420"/>
      <c r="E175" s="3421" t="s">
        <v>6889</v>
      </c>
      <c r="F175" s="3372"/>
      <c r="G175" s="3372"/>
      <c r="H175" s="3372"/>
      <c r="I175" s="2772" t="s">
        <v>2772</v>
      </c>
      <c r="J175" s="2773" t="s">
        <v>2772</v>
      </c>
      <c r="K175" s="2774" t="s">
        <v>6887</v>
      </c>
      <c r="L175" s="2775">
        <v>0.01</v>
      </c>
      <c r="M175" s="2776" t="s">
        <v>2772</v>
      </c>
      <c r="N175" s="3422"/>
      <c r="O175" s="3372"/>
      <c r="P175" s="3372"/>
      <c r="Q175" s="3372"/>
      <c r="R175" s="3372"/>
      <c r="S175" s="3373"/>
      <c r="U175" s="3377"/>
      <c r="V175" s="3377"/>
      <c r="Z175" s="1773">
        <v>175</v>
      </c>
    </row>
    <row r="176" spans="1:26" s="289" customFormat="1" ht="23.25" customHeight="1">
      <c r="A176" s="3418" t="s">
        <v>2684</v>
      </c>
      <c r="B176" s="3419"/>
      <c r="C176" s="3419"/>
      <c r="D176" s="3420"/>
      <c r="E176" s="3421"/>
      <c r="F176" s="3372"/>
      <c r="G176" s="3372"/>
      <c r="H176" s="3372"/>
      <c r="I176" s="2772"/>
      <c r="J176" s="2773"/>
      <c r="K176" s="2774"/>
      <c r="L176" s="2775"/>
      <c r="M176" s="2776"/>
      <c r="N176" s="3422"/>
      <c r="O176" s="3372"/>
      <c r="P176" s="3372"/>
      <c r="Q176" s="3372"/>
      <c r="R176" s="3372"/>
      <c r="S176" s="3373"/>
      <c r="U176" s="3377"/>
      <c r="V176" s="3377"/>
      <c r="Z176" s="1773">
        <v>176</v>
      </c>
    </row>
    <row r="177" spans="1:26" s="289" customFormat="1" ht="23.25" customHeight="1">
      <c r="A177" s="3418" t="s">
        <v>623</v>
      </c>
      <c r="B177" s="3419"/>
      <c r="C177" s="3419"/>
      <c r="D177" s="3420"/>
      <c r="E177" s="3421" t="s">
        <v>6850</v>
      </c>
      <c r="F177" s="3372"/>
      <c r="G177" s="3372"/>
      <c r="H177" s="3372"/>
      <c r="I177" s="2772" t="s">
        <v>2772</v>
      </c>
      <c r="J177" s="2773" t="s">
        <v>2772</v>
      </c>
      <c r="K177" s="2774" t="s">
        <v>6887</v>
      </c>
      <c r="L177" s="2775">
        <v>0</v>
      </c>
      <c r="M177" s="2776" t="s">
        <v>2772</v>
      </c>
      <c r="N177" s="3422"/>
      <c r="O177" s="3372"/>
      <c r="P177" s="3372"/>
      <c r="Q177" s="3372"/>
      <c r="R177" s="3372"/>
      <c r="S177" s="3373"/>
      <c r="U177" s="3377"/>
      <c r="V177" s="3377"/>
      <c r="Z177" s="1773">
        <v>177</v>
      </c>
    </row>
    <row r="178" spans="1:26" s="289" customFormat="1" ht="23.25" customHeight="1">
      <c r="A178" s="3418" t="s">
        <v>2685</v>
      </c>
      <c r="B178" s="3419"/>
      <c r="C178" s="3419"/>
      <c r="D178" s="3420"/>
      <c r="E178" s="3421" t="s">
        <v>375</v>
      </c>
      <c r="F178" s="3372"/>
      <c r="G178" s="3372"/>
      <c r="H178" s="3372"/>
      <c r="I178" s="2772" t="s">
        <v>2772</v>
      </c>
      <c r="J178" s="2773" t="s">
        <v>2772</v>
      </c>
      <c r="K178" s="2774" t="s">
        <v>2480</v>
      </c>
      <c r="L178" s="2775">
        <v>0</v>
      </c>
      <c r="M178" s="2776" t="s">
        <v>2772</v>
      </c>
      <c r="N178" s="3422"/>
      <c r="O178" s="3372"/>
      <c r="P178" s="3372"/>
      <c r="Q178" s="3372"/>
      <c r="R178" s="3372"/>
      <c r="S178" s="3373"/>
      <c r="Z178" s="1773">
        <v>178</v>
      </c>
    </row>
    <row r="179" spans="1:26" s="289" customFormat="1" ht="23.25" customHeight="1">
      <c r="A179" s="3418" t="s">
        <v>2686</v>
      </c>
      <c r="B179" s="3419"/>
      <c r="C179" s="3419"/>
      <c r="D179" s="3420"/>
      <c r="E179" s="3421"/>
      <c r="F179" s="3372"/>
      <c r="G179" s="3372"/>
      <c r="H179" s="3372"/>
      <c r="I179" s="2772"/>
      <c r="J179" s="2773"/>
      <c r="K179" s="2774"/>
      <c r="L179" s="2775"/>
      <c r="M179" s="2776"/>
      <c r="N179" s="3422"/>
      <c r="O179" s="3372"/>
      <c r="P179" s="3372"/>
      <c r="Q179" s="3372"/>
      <c r="R179" s="3372"/>
      <c r="S179" s="3373"/>
      <c r="Z179" s="1773">
        <v>179</v>
      </c>
    </row>
    <row r="180" spans="1:26" s="289" customFormat="1" ht="23.25" customHeight="1">
      <c r="A180" s="3418" t="s">
        <v>2688</v>
      </c>
      <c r="B180" s="3419"/>
      <c r="C180" s="3419"/>
      <c r="D180" s="3420"/>
      <c r="E180" s="3421"/>
      <c r="F180" s="3372"/>
      <c r="G180" s="3372"/>
      <c r="H180" s="3372"/>
      <c r="I180" s="2772"/>
      <c r="J180" s="2773"/>
      <c r="K180" s="2774"/>
      <c r="L180" s="2775"/>
      <c r="M180" s="2776"/>
      <c r="N180" s="3422"/>
      <c r="O180" s="3372"/>
      <c r="P180" s="3372"/>
      <c r="Q180" s="3372"/>
      <c r="R180" s="3372"/>
      <c r="S180" s="3373"/>
      <c r="Z180" s="1773">
        <v>180</v>
      </c>
    </row>
    <row r="181" spans="1:26" s="289" customFormat="1" ht="23.25" customHeight="1">
      <c r="A181" s="3418" t="s">
        <v>2687</v>
      </c>
      <c r="B181" s="3419"/>
      <c r="C181" s="3419"/>
      <c r="D181" s="3420"/>
      <c r="E181" s="3421"/>
      <c r="F181" s="3372"/>
      <c r="G181" s="3372"/>
      <c r="H181" s="3372"/>
      <c r="I181" s="2772"/>
      <c r="J181" s="2773"/>
      <c r="K181" s="2774"/>
      <c r="L181" s="2775"/>
      <c r="M181" s="2776"/>
      <c r="N181" s="3422"/>
      <c r="O181" s="3372"/>
      <c r="P181" s="3372"/>
      <c r="Q181" s="3372"/>
      <c r="R181" s="3372"/>
      <c r="S181" s="3373"/>
      <c r="Z181" s="1773">
        <v>181</v>
      </c>
    </row>
    <row r="182" spans="1:26" s="289" customFormat="1" ht="23.25" customHeight="1">
      <c r="A182" s="3418" t="s">
        <v>1468</v>
      </c>
      <c r="B182" s="3419"/>
      <c r="C182" s="3419"/>
      <c r="D182" s="3420"/>
      <c r="E182" s="3421" t="s">
        <v>6925</v>
      </c>
      <c r="F182" s="3372"/>
      <c r="G182" s="3372"/>
      <c r="H182" s="3372"/>
      <c r="I182" s="2772" t="s">
        <v>2772</v>
      </c>
      <c r="J182" s="2773" t="s">
        <v>2772</v>
      </c>
      <c r="K182" s="2774" t="s">
        <v>6887</v>
      </c>
      <c r="L182" s="2775">
        <v>0</v>
      </c>
      <c r="M182" s="2776" t="s">
        <v>2772</v>
      </c>
      <c r="N182" s="3422"/>
      <c r="O182" s="3372"/>
      <c r="P182" s="3372"/>
      <c r="Q182" s="3372"/>
      <c r="R182" s="3372"/>
      <c r="S182" s="3373"/>
      <c r="Z182" s="1773">
        <v>182</v>
      </c>
    </row>
    <row r="183" spans="1:26" s="289" customFormat="1" ht="23.25" customHeight="1">
      <c r="A183" s="3407" t="s">
        <v>2689</v>
      </c>
      <c r="B183" s="3408"/>
      <c r="C183" s="3408"/>
      <c r="D183" s="3409"/>
      <c r="E183" s="3410" t="s">
        <v>6905</v>
      </c>
      <c r="F183" s="3369"/>
      <c r="G183" s="3369"/>
      <c r="H183" s="3369"/>
      <c r="I183" s="2772" t="s">
        <v>2772</v>
      </c>
      <c r="J183" s="2773" t="s">
        <v>2772</v>
      </c>
      <c r="K183" s="2774" t="s">
        <v>6887</v>
      </c>
      <c r="L183" s="2775">
        <v>0</v>
      </c>
      <c r="M183" s="2776" t="s">
        <v>2772</v>
      </c>
      <c r="N183" s="3411"/>
      <c r="O183" s="3369"/>
      <c r="P183" s="3369"/>
      <c r="Q183" s="3369"/>
      <c r="R183" s="3369"/>
      <c r="S183" s="3370"/>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37.25" customHeight="1">
      <c r="A186" s="3412" t="s">
        <v>7015</v>
      </c>
      <c r="B186" s="3413"/>
      <c r="C186" s="3413"/>
      <c r="D186" s="3413"/>
      <c r="E186" s="3413"/>
      <c r="F186" s="3413"/>
      <c r="G186" s="3413"/>
      <c r="H186" s="3413"/>
      <c r="I186" s="3413"/>
      <c r="J186" s="3413"/>
      <c r="K186" s="3413"/>
      <c r="L186" s="3413"/>
      <c r="M186" s="3414"/>
      <c r="N186" s="3415"/>
      <c r="O186" s="3416"/>
      <c r="P186" s="3416"/>
      <c r="Q186" s="3416"/>
      <c r="R186" s="3416"/>
      <c r="S186" s="3417"/>
      <c r="T186" s="3130" t="s">
        <v>2542</v>
      </c>
      <c r="U186" s="3130"/>
      <c r="V186" s="3130"/>
      <c r="W186" s="3130"/>
      <c r="X186" s="3130"/>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0"/>
      <c r="U187" s="3130"/>
      <c r="V187" s="3130"/>
      <c r="W187" s="3130"/>
      <c r="X187" s="3130"/>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7"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8"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8"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8"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8"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8"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8"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8"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8" t="s">
        <v>812</v>
      </c>
      <c r="Z199" s="1773"/>
    </row>
    <row r="200" spans="1:26" ht="12" customHeight="1">
      <c r="P200" s="2778" t="s">
        <v>813</v>
      </c>
    </row>
    <row r="201" spans="1:26" ht="12" customHeight="1">
      <c r="A201" s="315"/>
      <c r="P201" s="2778" t="s">
        <v>814</v>
      </c>
    </row>
    <row r="202" spans="1:26" ht="12" customHeight="1">
      <c r="P202" s="2778" t="s">
        <v>815</v>
      </c>
    </row>
    <row r="203" spans="1:26" ht="12" customHeight="1">
      <c r="P203" s="2778" t="s">
        <v>816</v>
      </c>
    </row>
    <row r="204" spans="1:26" ht="12" customHeight="1">
      <c r="P204" s="2778" t="s">
        <v>817</v>
      </c>
    </row>
    <row r="205" spans="1:26" ht="12" customHeight="1">
      <c r="P205" s="2778" t="s">
        <v>818</v>
      </c>
    </row>
    <row r="206" spans="1:26" ht="12" customHeight="1">
      <c r="P206" s="2778" t="s">
        <v>819</v>
      </c>
    </row>
    <row r="207" spans="1:26" ht="12" customHeight="1">
      <c r="P207" s="2778" t="s">
        <v>820</v>
      </c>
    </row>
    <row r="208" spans="1:26" ht="12" customHeight="1">
      <c r="P208" s="2778" t="s">
        <v>821</v>
      </c>
    </row>
    <row r="209" spans="16:16" ht="12" customHeight="1">
      <c r="P209" s="2778" t="s">
        <v>822</v>
      </c>
    </row>
    <row r="210" spans="16:16" ht="12" customHeight="1">
      <c r="P210" s="2778" t="s">
        <v>823</v>
      </c>
    </row>
    <row r="211" spans="16:16" ht="12" customHeight="1">
      <c r="P211" s="2778" t="s">
        <v>824</v>
      </c>
    </row>
    <row r="212" spans="16:16" ht="12" customHeight="1">
      <c r="P212" s="2778" t="s">
        <v>825</v>
      </c>
    </row>
    <row r="213" spans="16:16" ht="12" customHeight="1">
      <c r="P213" s="2778" t="s">
        <v>826</v>
      </c>
    </row>
    <row r="214" spans="16:16" ht="12" customHeight="1">
      <c r="P214" s="2778" t="s">
        <v>827</v>
      </c>
    </row>
    <row r="215" spans="16:16" ht="12" customHeight="1">
      <c r="P215" s="2778" t="s">
        <v>828</v>
      </c>
    </row>
    <row r="216" spans="16:16" ht="12" customHeight="1">
      <c r="P216" s="2778" t="s">
        <v>829</v>
      </c>
    </row>
    <row r="217" spans="16:16" ht="12" customHeight="1">
      <c r="P217" s="2778" t="s">
        <v>1292</v>
      </c>
    </row>
    <row r="218" spans="16:16" ht="12" customHeight="1">
      <c r="P218" s="2778" t="s">
        <v>1293</v>
      </c>
    </row>
    <row r="219" spans="16:16" ht="12" customHeight="1">
      <c r="P219" s="2778" t="s">
        <v>1294</v>
      </c>
    </row>
    <row r="220" spans="16:16" ht="12" customHeight="1">
      <c r="P220" s="2778" t="s">
        <v>1295</v>
      </c>
    </row>
    <row r="221" spans="16:16" ht="12" customHeight="1">
      <c r="P221" s="2778" t="s">
        <v>1296</v>
      </c>
    </row>
    <row r="222" spans="16:16" ht="13.5">
      <c r="P222" s="2778" t="s">
        <v>1297</v>
      </c>
    </row>
    <row r="223" spans="16:16" ht="12" customHeight="1">
      <c r="P223" s="2778" t="s">
        <v>1298</v>
      </c>
    </row>
    <row r="224" spans="16:16" ht="12" customHeight="1">
      <c r="P224" s="2778" t="s">
        <v>1299</v>
      </c>
    </row>
    <row r="225" spans="16:16" ht="12" customHeight="1">
      <c r="P225" s="2778" t="s">
        <v>1300</v>
      </c>
    </row>
    <row r="226" spans="16:16" ht="12" customHeight="1">
      <c r="P226" s="2778" t="s">
        <v>1301</v>
      </c>
    </row>
    <row r="227" spans="16:16" ht="12" customHeight="1">
      <c r="P227" s="2778" t="s">
        <v>1302</v>
      </c>
    </row>
    <row r="228" spans="16:16" ht="12" customHeight="1">
      <c r="P228" s="2778" t="s">
        <v>1303</v>
      </c>
    </row>
    <row r="229" spans="16:16" ht="12" customHeight="1">
      <c r="P229" s="2778" t="s">
        <v>1304</v>
      </c>
    </row>
    <row r="230" spans="16:16" ht="12" customHeight="1">
      <c r="P230" s="2778" t="s">
        <v>1305</v>
      </c>
    </row>
    <row r="231" spans="16:16" ht="12" customHeight="1">
      <c r="P231" s="2778" t="s">
        <v>1306</v>
      </c>
    </row>
    <row r="232" spans="16:16" ht="12" customHeight="1">
      <c r="P232" s="2778" t="s">
        <v>1307</v>
      </c>
    </row>
    <row r="233" spans="16:16" ht="12" customHeight="1">
      <c r="P233" s="2778" t="s">
        <v>1308</v>
      </c>
    </row>
    <row r="234" spans="16:16" ht="12" customHeight="1">
      <c r="P234" s="2778" t="s">
        <v>1309</v>
      </c>
    </row>
    <row r="235" spans="16:16" ht="12" customHeight="1">
      <c r="P235" s="2778" t="s">
        <v>1310</v>
      </c>
    </row>
    <row r="236" spans="16:16" ht="12" customHeight="1">
      <c r="P236" s="2778" t="s">
        <v>1311</v>
      </c>
    </row>
    <row r="237" spans="16:16" ht="12" customHeight="1">
      <c r="P237" s="2778" t="s">
        <v>1312</v>
      </c>
    </row>
    <row r="238" spans="16:16" ht="12" customHeight="1">
      <c r="P238" s="2778" t="s">
        <v>1313</v>
      </c>
    </row>
    <row r="239" spans="16:16" ht="12" customHeight="1">
      <c r="P239" s="2778" t="s">
        <v>1314</v>
      </c>
    </row>
    <row r="240" spans="16:16" ht="12" customHeight="1">
      <c r="P240" s="2778" t="s">
        <v>1315</v>
      </c>
    </row>
    <row r="241" spans="16:16" ht="12" customHeight="1">
      <c r="P241" s="2778" t="s">
        <v>1316</v>
      </c>
    </row>
    <row r="242" spans="16:16" ht="12" customHeight="1">
      <c r="P242" s="2778" t="s">
        <v>1317</v>
      </c>
    </row>
  </sheetData>
  <sheetProtection algorithmName="SHA-512" hashValue="AEw6/96sXSdlLUqQiIP5VDJ8gtxBgo7CQKDXFCM4xX03VQEAzUEthpt4ysUFmPIn/9XnR3F/cWgTxswkAUug+Q==" saltValue="AwlsLnHSREjKikFemXaAE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L25:S25"/>
    <mergeCell ref="H25:J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473" t="e">
        <f>CONCATENATE("PART III B: USD 538 LOAN","  -  ",#REF!," ",#REF!,", ",#REF!,", ",#REF!," County")</f>
        <v>#REF!</v>
      </c>
      <c r="B1" s="3474"/>
      <c r="C1" s="3474"/>
      <c r="D1" s="3474"/>
      <c r="E1" s="3474"/>
      <c r="F1" s="347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466" t="s">
        <v>209</v>
      </c>
      <c r="B3" s="3466"/>
      <c r="C3" s="3466"/>
      <c r="D3" s="3466"/>
      <c r="E3" s="3466"/>
      <c r="F3" s="3466"/>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467" t="s">
        <v>121</v>
      </c>
      <c r="B14" s="3467"/>
      <c r="C14" s="3467"/>
      <c r="D14" s="3467"/>
      <c r="E14" s="3467"/>
      <c r="F14" s="3467"/>
      <c r="G14" s="191"/>
      <c r="H14" s="191"/>
    </row>
    <row r="15" spans="1:17" ht="5.45" customHeight="1">
      <c r="A15" s="28"/>
      <c r="E15" s="202"/>
      <c r="F15" s="191"/>
      <c r="G15" s="191"/>
      <c r="H15" s="191"/>
    </row>
    <row r="16" spans="1:17" ht="13.35" customHeight="1">
      <c r="A16" s="204" t="s">
        <v>2368</v>
      </c>
      <c r="B16" s="205" t="s">
        <v>2365</v>
      </c>
      <c r="C16" s="205" t="s">
        <v>2366</v>
      </c>
      <c r="D16" s="3476" t="s">
        <v>2151</v>
      </c>
      <c r="E16" s="3476"/>
      <c r="F16" s="191"/>
      <c r="G16" s="191"/>
      <c r="H16" s="191"/>
    </row>
    <row r="17" spans="1:8" ht="12.6" customHeight="1">
      <c r="A17" s="80">
        <v>1</v>
      </c>
      <c r="B17" s="180">
        <f>IF(A17&gt;$C$9,0,SUM(C64:C75)*($C$6/$C$7))</f>
        <v>0</v>
      </c>
      <c r="C17" s="203">
        <f>IF(A17&gt;C9,0,(E63+K63)*$C$8)</f>
        <v>0</v>
      </c>
      <c r="D17" s="3471">
        <f t="shared" ref="D17:D56" si="0">IF(A17&gt;$C$9,0,$C$11+C17)</f>
        <v>0</v>
      </c>
      <c r="E17" s="3471"/>
      <c r="F17" s="191"/>
      <c r="G17" s="191"/>
      <c r="H17" s="191"/>
    </row>
    <row r="18" spans="1:8" ht="12.6" customHeight="1">
      <c r="A18" s="80">
        <v>2</v>
      </c>
      <c r="B18" s="180">
        <f>IF(A18&gt;C9,0,SUM(C76:C87)*($C$6/$C$7))</f>
        <v>0</v>
      </c>
      <c r="C18" s="210">
        <f>IF(A18&gt;C9,0,(E75+K75)*$C$8)</f>
        <v>0</v>
      </c>
      <c r="D18" s="3469">
        <f t="shared" si="0"/>
        <v>0</v>
      </c>
      <c r="E18" s="3469"/>
      <c r="F18" s="191"/>
      <c r="G18" s="191"/>
      <c r="H18" s="191"/>
    </row>
    <row r="19" spans="1:8" ht="12.6" customHeight="1">
      <c r="A19" s="80">
        <v>3</v>
      </c>
      <c r="B19" s="180">
        <f>IF(A19&gt;C9,0,SUM(C88:C99)*($C$6/$C$7))</f>
        <v>0</v>
      </c>
      <c r="C19" s="203">
        <f>IF(A19&gt;C9,0,(E87+K87)*$C$8)</f>
        <v>0</v>
      </c>
      <c r="D19" s="3469">
        <f t="shared" si="0"/>
        <v>0</v>
      </c>
      <c r="E19" s="3469"/>
      <c r="F19" s="191"/>
      <c r="G19" s="191"/>
      <c r="H19" s="191"/>
    </row>
    <row r="20" spans="1:8" ht="12.6" customHeight="1">
      <c r="A20" s="80">
        <v>4</v>
      </c>
      <c r="B20" s="180">
        <f>IF(A20&gt;C9,0,SUM(C100:C111)*($C$6/$C$7))</f>
        <v>0</v>
      </c>
      <c r="C20" s="203">
        <f>IF(A20&gt;C9,0,(E99+K99)*$C$8)</f>
        <v>0</v>
      </c>
      <c r="D20" s="3469">
        <f t="shared" si="0"/>
        <v>0</v>
      </c>
      <c r="E20" s="3469"/>
      <c r="F20" s="191"/>
      <c r="G20" s="191"/>
      <c r="H20" s="191"/>
    </row>
    <row r="21" spans="1:8" ht="12.6" customHeight="1">
      <c r="A21" s="80">
        <v>5</v>
      </c>
      <c r="B21" s="180">
        <f>IF(A21&gt;C9,0,SUM(C112:C123)*($C$6/$C$7))</f>
        <v>0</v>
      </c>
      <c r="C21" s="203">
        <f>IF(A21&gt;C9,0,(E111+K111)*$C$8)</f>
        <v>0</v>
      </c>
      <c r="D21" s="3470">
        <f t="shared" si="0"/>
        <v>0</v>
      </c>
      <c r="E21" s="3470"/>
      <c r="F21" s="191"/>
      <c r="G21" s="191"/>
      <c r="H21" s="191"/>
    </row>
    <row r="22" spans="1:8" ht="12.6" customHeight="1">
      <c r="A22" s="181">
        <v>6</v>
      </c>
      <c r="B22" s="182">
        <f>IF(A22&gt;C9,0,SUM(C124:C135)*($C$6/$C$7))</f>
        <v>0</v>
      </c>
      <c r="C22" s="207">
        <f>IF(A22&gt;C9,0,(E123+K123)*$C$8)</f>
        <v>0</v>
      </c>
      <c r="D22" s="3469">
        <f t="shared" si="0"/>
        <v>0</v>
      </c>
      <c r="E22" s="3469"/>
      <c r="F22" s="191"/>
      <c r="G22" s="191"/>
      <c r="H22" s="191"/>
    </row>
    <row r="23" spans="1:8" ht="12.6" customHeight="1">
      <c r="A23" s="183">
        <v>7</v>
      </c>
      <c r="B23" s="184">
        <f>IF(A23&gt;C9,0,SUM(C136:C147)*($C$6/$C$7))</f>
        <v>0</v>
      </c>
      <c r="C23" s="185">
        <f>IF(A23&gt;C9,0,(E135+K135)*$C$8)</f>
        <v>0</v>
      </c>
      <c r="D23" s="3469">
        <f t="shared" si="0"/>
        <v>0</v>
      </c>
      <c r="E23" s="3469"/>
      <c r="F23" s="191"/>
      <c r="G23" s="191"/>
      <c r="H23" s="191"/>
    </row>
    <row r="24" spans="1:8" ht="12.6" customHeight="1">
      <c r="A24" s="183">
        <v>8</v>
      </c>
      <c r="B24" s="184">
        <f>IF(A24&gt;C9,0,SUM(C148:C159)*($C$6/$C$7))</f>
        <v>0</v>
      </c>
      <c r="C24" s="185">
        <f>IF(A24&gt;C9,0,(E147+K147)*$C$8)</f>
        <v>0</v>
      </c>
      <c r="D24" s="3469">
        <f t="shared" si="0"/>
        <v>0</v>
      </c>
      <c r="E24" s="3469"/>
      <c r="F24" s="191"/>
      <c r="G24" s="191"/>
      <c r="H24" s="191"/>
    </row>
    <row r="25" spans="1:8" ht="12.6" customHeight="1">
      <c r="A25" s="183">
        <v>9</v>
      </c>
      <c r="B25" s="184">
        <f>IF(A25&gt;C9,0,SUM(C160:C171)*($C$6/$C$7))</f>
        <v>0</v>
      </c>
      <c r="C25" s="185">
        <f>IF(A25&gt;C9,0,(E159+K159)*$C$8)</f>
        <v>0</v>
      </c>
      <c r="D25" s="3469">
        <f t="shared" si="0"/>
        <v>0</v>
      </c>
      <c r="E25" s="3469"/>
      <c r="F25" s="191"/>
      <c r="G25" s="191"/>
      <c r="H25" s="191"/>
    </row>
    <row r="26" spans="1:8" ht="12.6" customHeight="1">
      <c r="A26" s="186">
        <v>10</v>
      </c>
      <c r="B26" s="187">
        <f>IF(A26&gt;C9,0,SUM(C172:C183)*($C$6/$C$7))</f>
        <v>0</v>
      </c>
      <c r="C26" s="206">
        <f>IF(A26&gt;C9,0,(E171+K171)*$C$8)</f>
        <v>0</v>
      </c>
      <c r="D26" s="3470">
        <f t="shared" si="0"/>
        <v>0</v>
      </c>
      <c r="E26" s="3470"/>
      <c r="F26" s="191"/>
      <c r="G26" s="191"/>
      <c r="H26" s="191"/>
    </row>
    <row r="27" spans="1:8" ht="12.6" customHeight="1">
      <c r="A27" s="188">
        <v>11</v>
      </c>
      <c r="B27" s="180">
        <f>IF(A27&gt;C9,0,SUM(C184:C195)*($C$6/$C$7))</f>
        <v>0</v>
      </c>
      <c r="C27" s="203">
        <f>IF(A27&gt;C9,0,(E183+K183)*$C$8)</f>
        <v>0</v>
      </c>
      <c r="D27" s="3469">
        <f t="shared" si="0"/>
        <v>0</v>
      </c>
      <c r="E27" s="3469"/>
      <c r="F27" s="191"/>
      <c r="G27" s="191"/>
      <c r="H27" s="191"/>
    </row>
    <row r="28" spans="1:8" ht="12.6" customHeight="1">
      <c r="A28" s="188">
        <v>12</v>
      </c>
      <c r="B28" s="180">
        <f>IF(A28&gt;C9,0,SUM(C196:C207)*($C$6/$C$7))</f>
        <v>0</v>
      </c>
      <c r="C28" s="203">
        <f>IF(A28&gt;C9,0,(E195+K195)*$C$8)</f>
        <v>0</v>
      </c>
      <c r="D28" s="3469">
        <f t="shared" si="0"/>
        <v>0</v>
      </c>
      <c r="E28" s="3469"/>
      <c r="F28" s="191"/>
      <c r="G28" s="191"/>
      <c r="H28" s="191"/>
    </row>
    <row r="29" spans="1:8" ht="12.6" customHeight="1">
      <c r="A29" s="188">
        <v>13</v>
      </c>
      <c r="B29" s="180">
        <f>IF(A29&gt;C9,0,SUM(C208:C219)*($C$6/$C$7))</f>
        <v>0</v>
      </c>
      <c r="C29" s="203">
        <f>IF(A29&gt;C9,0,(E207+K207)*$C$8)</f>
        <v>0</v>
      </c>
      <c r="D29" s="3469">
        <f t="shared" si="0"/>
        <v>0</v>
      </c>
      <c r="E29" s="3469"/>
      <c r="F29" s="191"/>
      <c r="G29" s="191"/>
      <c r="H29" s="191"/>
    </row>
    <row r="30" spans="1:8" ht="12.6" customHeight="1">
      <c r="A30" s="188">
        <v>14</v>
      </c>
      <c r="B30" s="180">
        <f>IF(A30&gt;C9,0,SUM(C220:C231)*($C$6/$C$7))</f>
        <v>0</v>
      </c>
      <c r="C30" s="203">
        <f>IF(A30&gt;C9,0,(E219+K219)*$C$8)</f>
        <v>0</v>
      </c>
      <c r="D30" s="3469">
        <f t="shared" si="0"/>
        <v>0</v>
      </c>
      <c r="E30" s="3469"/>
      <c r="F30" s="191"/>
      <c r="G30" s="191"/>
      <c r="H30" s="191"/>
    </row>
    <row r="31" spans="1:8" ht="12.6" customHeight="1">
      <c r="A31" s="188">
        <v>15</v>
      </c>
      <c r="B31" s="180">
        <f>IF(A31&gt;C9,0,SUM(C232:C243)*($C$6/$C$7))</f>
        <v>0</v>
      </c>
      <c r="C31" s="203">
        <f>IF(A31&gt;C9,0,(E231+K231)*$C$8)</f>
        <v>0</v>
      </c>
      <c r="D31" s="3470">
        <f t="shared" si="0"/>
        <v>0</v>
      </c>
      <c r="E31" s="3470"/>
      <c r="F31" s="191"/>
      <c r="G31" s="191"/>
      <c r="H31" s="191"/>
    </row>
    <row r="32" spans="1:8" ht="12.6" customHeight="1">
      <c r="A32" s="190">
        <v>16</v>
      </c>
      <c r="B32" s="182">
        <f>IF(A32&gt;C9,0,SUM(C244:C255)*($C$6/$C$7))</f>
        <v>0</v>
      </c>
      <c r="C32" s="207">
        <f>IF(A32&gt;C9,0,(E243+K243)*$C$8)</f>
        <v>0</v>
      </c>
      <c r="D32" s="3469">
        <f t="shared" si="0"/>
        <v>0</v>
      </c>
      <c r="E32" s="3469"/>
      <c r="F32" s="191"/>
      <c r="G32" s="191"/>
      <c r="H32" s="191"/>
    </row>
    <row r="33" spans="1:8" ht="12.6" customHeight="1">
      <c r="A33" s="183">
        <v>17</v>
      </c>
      <c r="B33" s="184">
        <f>IF(A33&gt;C9,0,SUM(C256:C267)*($C$6/$C$7))</f>
        <v>0</v>
      </c>
      <c r="C33" s="185">
        <f>IF(A33&gt;C9,0,(E255+K255)*$C$8)</f>
        <v>0</v>
      </c>
      <c r="D33" s="3469">
        <f t="shared" si="0"/>
        <v>0</v>
      </c>
      <c r="E33" s="3469"/>
      <c r="F33" s="191"/>
      <c r="G33" s="191"/>
      <c r="H33" s="191"/>
    </row>
    <row r="34" spans="1:8" ht="12.6" customHeight="1">
      <c r="A34" s="183">
        <v>18</v>
      </c>
      <c r="B34" s="184">
        <f>IF(A34&gt;C9,0,SUM(C268:C279)*($C$6/$C$7))</f>
        <v>0</v>
      </c>
      <c r="C34" s="185">
        <f>IF(A34&gt;C9,0,(E267+K267)*$C$8)</f>
        <v>0</v>
      </c>
      <c r="D34" s="3469">
        <f t="shared" si="0"/>
        <v>0</v>
      </c>
      <c r="E34" s="3469"/>
      <c r="F34" s="191"/>
      <c r="G34" s="191"/>
      <c r="H34" s="191"/>
    </row>
    <row r="35" spans="1:8" ht="12.6" customHeight="1">
      <c r="A35" s="183">
        <v>19</v>
      </c>
      <c r="B35" s="184">
        <f>IF(A35&gt;C9,0,SUM(C280:C291)*($C$6/$C$7))</f>
        <v>0</v>
      </c>
      <c r="C35" s="185">
        <f>IF(A35&gt;C9,0,(E279+K279)*$C$8)</f>
        <v>0</v>
      </c>
      <c r="D35" s="3469">
        <f t="shared" si="0"/>
        <v>0</v>
      </c>
      <c r="E35" s="3469"/>
      <c r="F35" s="191"/>
      <c r="G35" s="191"/>
      <c r="H35" s="191"/>
    </row>
    <row r="36" spans="1:8" ht="12.6" customHeight="1">
      <c r="A36" s="186">
        <v>20</v>
      </c>
      <c r="B36" s="187">
        <f>IF(A36&gt;C9,0,SUM(C292:C303)*($C$6/$C$7))</f>
        <v>0</v>
      </c>
      <c r="C36" s="206">
        <f>IF(A36&gt;C9,0,(E291+K291)*$C$8)</f>
        <v>0</v>
      </c>
      <c r="D36" s="3470">
        <f t="shared" si="0"/>
        <v>0</v>
      </c>
      <c r="E36" s="3470"/>
      <c r="F36" s="191"/>
      <c r="G36" s="191"/>
      <c r="H36" s="191"/>
    </row>
    <row r="37" spans="1:8" ht="12.6" customHeight="1">
      <c r="A37" s="80">
        <v>21</v>
      </c>
      <c r="B37" s="182">
        <f>IF(A37&gt;C9,0,SUM(C293:C304)*($C$6/$C$7))</f>
        <v>0</v>
      </c>
      <c r="C37" s="207">
        <f>IF(A37&gt;C9,0,(E303+K303)*$C$8)</f>
        <v>0</v>
      </c>
      <c r="D37" s="3472">
        <f t="shared" si="0"/>
        <v>0</v>
      </c>
      <c r="E37" s="3472"/>
      <c r="F37" s="191"/>
      <c r="G37" s="191"/>
      <c r="H37" s="191"/>
    </row>
    <row r="38" spans="1:8" ht="12.6" customHeight="1">
      <c r="A38" s="80">
        <v>22</v>
      </c>
      <c r="B38" s="184">
        <f>IF(A38&gt;C9,0,SUM(C294:C305)*($C$6/$C$7))</f>
        <v>0</v>
      </c>
      <c r="C38" s="185">
        <f>IF(A38&gt;C9,0,(E315+K315)*$C$8)</f>
        <v>0</v>
      </c>
      <c r="D38" s="3469">
        <f t="shared" si="0"/>
        <v>0</v>
      </c>
      <c r="E38" s="3469"/>
      <c r="F38" s="191"/>
      <c r="G38" s="191"/>
      <c r="H38" s="191"/>
    </row>
    <row r="39" spans="1:8" ht="12.6" customHeight="1">
      <c r="A39" s="80">
        <v>23</v>
      </c>
      <c r="B39" s="184">
        <f>IF(A39&gt;C9,0,SUM(C295:C306)*($C$6/$C$7))</f>
        <v>0</v>
      </c>
      <c r="C39" s="185">
        <f>IF(A39&gt;C9,0,(E327+K327)*$C$8)</f>
        <v>0</v>
      </c>
      <c r="D39" s="3469">
        <f t="shared" si="0"/>
        <v>0</v>
      </c>
      <c r="E39" s="3469"/>
      <c r="F39" s="191"/>
      <c r="G39" s="191"/>
      <c r="H39" s="191"/>
    </row>
    <row r="40" spans="1:8" ht="12.6" customHeight="1">
      <c r="A40" s="80">
        <v>24</v>
      </c>
      <c r="B40" s="184">
        <f>IF(A40&gt;C9,0,SUM(C296:C307)*($C$6/$C$7))</f>
        <v>0</v>
      </c>
      <c r="C40" s="185">
        <f>IF(A40&gt;C9,0,(E339+K339)*$C$8)</f>
        <v>0</v>
      </c>
      <c r="D40" s="3469">
        <f t="shared" si="0"/>
        <v>0</v>
      </c>
      <c r="E40" s="3469"/>
      <c r="F40" s="191"/>
      <c r="G40" s="191"/>
      <c r="H40" s="191"/>
    </row>
    <row r="41" spans="1:8" ht="12.6" customHeight="1">
      <c r="A41" s="80">
        <v>25</v>
      </c>
      <c r="B41" s="187">
        <f>IF(A41&gt;C9,0,SUM(C297:C308)*($C$6/$C$7))</f>
        <v>0</v>
      </c>
      <c r="C41" s="206">
        <f>IF(A41&gt;C9,0,(E351+K351)*$C$8)</f>
        <v>0</v>
      </c>
      <c r="D41" s="3470">
        <f t="shared" si="0"/>
        <v>0</v>
      </c>
      <c r="E41" s="3470"/>
      <c r="F41" s="191"/>
      <c r="G41" s="191"/>
      <c r="H41" s="191"/>
    </row>
    <row r="42" spans="1:8" ht="12.6" customHeight="1">
      <c r="A42" s="181">
        <v>26</v>
      </c>
      <c r="B42" s="182">
        <f>IF(A42&gt;C9,0,SUM(C298:C309)*($C$6/$C$7))</f>
        <v>0</v>
      </c>
      <c r="C42" s="207">
        <f>IF(A42&gt;C9,0,(E363+K363)*$C$8)</f>
        <v>0</v>
      </c>
      <c r="D42" s="3472">
        <f t="shared" si="0"/>
        <v>0</v>
      </c>
      <c r="E42" s="3472"/>
      <c r="F42" s="191"/>
      <c r="G42" s="191"/>
      <c r="H42" s="191"/>
    </row>
    <row r="43" spans="1:8" ht="12.6" customHeight="1">
      <c r="A43" s="183">
        <v>27</v>
      </c>
      <c r="B43" s="184">
        <f>IF(A43&gt;C9,0,SUM(C299:C310)*($C$6/$C$7))</f>
        <v>0</v>
      </c>
      <c r="C43" s="185">
        <f>IF(A43&gt;C9,0,(E375+K375)*$C$8)</f>
        <v>0</v>
      </c>
      <c r="D43" s="3469">
        <f t="shared" si="0"/>
        <v>0</v>
      </c>
      <c r="E43" s="3469"/>
      <c r="F43" s="191"/>
      <c r="G43" s="191"/>
      <c r="H43" s="191"/>
    </row>
    <row r="44" spans="1:8" ht="12.6" customHeight="1">
      <c r="A44" s="183">
        <v>28</v>
      </c>
      <c r="B44" s="184">
        <f>IF(A44&gt;C9,0,SUM(C300:C311)*($C$6/$C$7))</f>
        <v>0</v>
      </c>
      <c r="C44" s="185">
        <f>IF(A44&gt;C9,0,(E387+K387)*$C$8)</f>
        <v>0</v>
      </c>
      <c r="D44" s="3469">
        <f t="shared" si="0"/>
        <v>0</v>
      </c>
      <c r="E44" s="3469"/>
      <c r="F44" s="191"/>
      <c r="G44" s="191"/>
      <c r="H44" s="191"/>
    </row>
    <row r="45" spans="1:8" ht="12.6" customHeight="1">
      <c r="A45" s="183">
        <v>29</v>
      </c>
      <c r="B45" s="184">
        <f>IF(A45&gt;C9,0,SUM(C301:C312)*($C$6/$C$7))</f>
        <v>0</v>
      </c>
      <c r="C45" s="185">
        <f>IF(A45&gt;C9,0,(E411+K411)*$C$8)</f>
        <v>0</v>
      </c>
      <c r="D45" s="3469">
        <f t="shared" si="0"/>
        <v>0</v>
      </c>
      <c r="E45" s="3469"/>
      <c r="F45" s="191"/>
      <c r="G45" s="191"/>
      <c r="H45" s="191"/>
    </row>
    <row r="46" spans="1:8" ht="12.6" customHeight="1">
      <c r="A46" s="186">
        <v>30</v>
      </c>
      <c r="B46" s="187">
        <f>IF(A46&gt;C9,0,SUM(C302:C313)*($C$6/$C$7))</f>
        <v>0</v>
      </c>
      <c r="C46" s="206">
        <f>IF(A46&gt;C9,0,(E423+K423)*$C$8)</f>
        <v>0</v>
      </c>
      <c r="D46" s="3470">
        <f t="shared" si="0"/>
        <v>0</v>
      </c>
      <c r="E46" s="3470"/>
      <c r="F46" s="191"/>
      <c r="G46" s="191"/>
      <c r="H46" s="191"/>
    </row>
    <row r="47" spans="1:8" ht="12.6" customHeight="1">
      <c r="A47" s="190">
        <v>31</v>
      </c>
      <c r="B47" s="182">
        <f>IF(A47&gt;C9,0,SUM(C303:C314)*($C$6/$C$7))</f>
        <v>0</v>
      </c>
      <c r="C47" s="207">
        <f>IF(A47&gt;C9,0,(E435+K435)*$C$8)</f>
        <v>0</v>
      </c>
      <c r="D47" s="3472">
        <f t="shared" si="0"/>
        <v>0</v>
      </c>
      <c r="E47" s="3472"/>
      <c r="F47" s="191"/>
      <c r="G47" s="191"/>
      <c r="H47" s="191"/>
    </row>
    <row r="48" spans="1:8" ht="12.6" customHeight="1">
      <c r="A48" s="183">
        <v>32</v>
      </c>
      <c r="B48" s="184">
        <f>IF(A48&gt;C9,0,SUM(C304:C315)*($C$6/$C$7))</f>
        <v>0</v>
      </c>
      <c r="C48" s="185">
        <f>IF(A48&gt;C9,0,(E447+K447)*$C$8)</f>
        <v>0</v>
      </c>
      <c r="D48" s="3469">
        <f t="shared" si="0"/>
        <v>0</v>
      </c>
      <c r="E48" s="3469"/>
      <c r="F48" s="191"/>
      <c r="G48" s="191"/>
      <c r="H48" s="191"/>
    </row>
    <row r="49" spans="1:12" ht="12.6" customHeight="1">
      <c r="A49" s="183">
        <v>33</v>
      </c>
      <c r="B49" s="184">
        <f>IF(A49&gt;C9,0,SUM(C305:C316)*($C$6/$C$7))</f>
        <v>0</v>
      </c>
      <c r="C49" s="185">
        <f>IF(A49&gt;C9,0,(E459+K459)*$C$8)</f>
        <v>0</v>
      </c>
      <c r="D49" s="3469">
        <f t="shared" si="0"/>
        <v>0</v>
      </c>
      <c r="E49" s="3469"/>
      <c r="F49" s="191"/>
      <c r="G49" s="191"/>
      <c r="H49" s="191"/>
    </row>
    <row r="50" spans="1:12" ht="12.6" customHeight="1">
      <c r="A50" s="183">
        <v>34</v>
      </c>
      <c r="B50" s="184">
        <f>IF(A50&gt;C9,0,SUM(C306:C317)*($C$6/$C$7))</f>
        <v>0</v>
      </c>
      <c r="C50" s="185">
        <f>IF(A50&gt;C9,0,(E471+K471)*$C$8)</f>
        <v>0</v>
      </c>
      <c r="D50" s="3469">
        <f t="shared" si="0"/>
        <v>0</v>
      </c>
      <c r="E50" s="3469"/>
      <c r="F50" s="191"/>
      <c r="G50" s="191"/>
      <c r="H50" s="191"/>
    </row>
    <row r="51" spans="1:12" ht="12.6" customHeight="1">
      <c r="A51" s="186">
        <v>35</v>
      </c>
      <c r="B51" s="187">
        <f>IF(A51&gt;C9,0,SUM(C307:C318)*($C$6/$C$7))</f>
        <v>0</v>
      </c>
      <c r="C51" s="206">
        <f>IF(A51&gt;C9,0,(E483+K483)*$C$8)</f>
        <v>0</v>
      </c>
      <c r="D51" s="3470">
        <f t="shared" si="0"/>
        <v>0</v>
      </c>
      <c r="E51" s="3470"/>
      <c r="F51" s="191"/>
      <c r="G51" s="191"/>
      <c r="H51" s="191"/>
    </row>
    <row r="52" spans="1:12" ht="12.6" customHeight="1">
      <c r="A52" s="190">
        <v>36</v>
      </c>
      <c r="B52" s="182">
        <f>IF(A52&gt;C9,0,SUM(C308:C319)*($C$6/$C$7))</f>
        <v>0</v>
      </c>
      <c r="C52" s="207">
        <f>IF(A52&gt;C9,0,(E495+K495)*$C$8)</f>
        <v>0</v>
      </c>
      <c r="D52" s="3472">
        <f t="shared" si="0"/>
        <v>0</v>
      </c>
      <c r="E52" s="3472"/>
      <c r="F52" s="191"/>
      <c r="G52" s="191"/>
      <c r="H52" s="191"/>
    </row>
    <row r="53" spans="1:12" ht="12.6" customHeight="1">
      <c r="A53" s="183">
        <v>37</v>
      </c>
      <c r="B53" s="184">
        <f>IF(A53&gt;C9,0,SUM(C309:C320)*($C$6/$C$7))</f>
        <v>0</v>
      </c>
      <c r="C53" s="185">
        <f>IF(A53&gt;C9,0,(E507+K507)*$C$8)</f>
        <v>0</v>
      </c>
      <c r="D53" s="3469">
        <f t="shared" si="0"/>
        <v>0</v>
      </c>
      <c r="E53" s="3469"/>
      <c r="F53" s="191"/>
      <c r="G53" s="191"/>
      <c r="H53" s="191"/>
    </row>
    <row r="54" spans="1:12" ht="12.6" customHeight="1">
      <c r="A54" s="183">
        <v>38</v>
      </c>
      <c r="B54" s="184">
        <f>IF(A54&gt;C9,0,SUM(C310:C321)*($C$6/$C$7))</f>
        <v>0</v>
      </c>
      <c r="C54" s="185">
        <f>IF(A54&gt;C9,0,(E519+K519)*$C$8)</f>
        <v>0</v>
      </c>
      <c r="D54" s="3469">
        <f t="shared" si="0"/>
        <v>0</v>
      </c>
      <c r="E54" s="3469"/>
      <c r="F54" s="191"/>
      <c r="G54" s="191"/>
      <c r="H54" s="191"/>
    </row>
    <row r="55" spans="1:12" ht="12.6" customHeight="1">
      <c r="A55" s="183">
        <v>39</v>
      </c>
      <c r="B55" s="184">
        <f>IF(A55&gt;C9,0,SUM(C311:C322)*($C$6/$C$7))</f>
        <v>0</v>
      </c>
      <c r="C55" s="185">
        <f>IF(A55&gt;C9,0,(E531+K531)*$C$8)</f>
        <v>0</v>
      </c>
      <c r="D55" s="3469">
        <f t="shared" si="0"/>
        <v>0</v>
      </c>
      <c r="E55" s="3469"/>
      <c r="F55" s="191"/>
      <c r="G55" s="191"/>
      <c r="H55" s="191"/>
    </row>
    <row r="56" spans="1:12" ht="12.6" customHeight="1">
      <c r="A56" s="186">
        <v>40</v>
      </c>
      <c r="B56" s="187">
        <f>IF(A56&gt;C9,0,SUM(C312:C323)*($C$6/$C$7))</f>
        <v>0</v>
      </c>
      <c r="C56" s="206">
        <f>IF(A56&gt;C9,0,(E543+K543)*$C$8)</f>
        <v>0</v>
      </c>
      <c r="D56" s="3470">
        <f t="shared" si="0"/>
        <v>0</v>
      </c>
      <c r="E56" s="3470"/>
      <c r="F56" s="191"/>
      <c r="G56" s="191"/>
      <c r="H56" s="191"/>
    </row>
    <row r="57" spans="1:12" ht="3" customHeight="1">
      <c r="A57" s="191"/>
      <c r="B57" s="191"/>
      <c r="C57" s="191"/>
      <c r="D57" s="191"/>
      <c r="E57" s="191"/>
      <c r="F57" s="191"/>
      <c r="G57" s="191"/>
      <c r="H57" s="191"/>
    </row>
    <row r="58" spans="1:12" ht="13.35" customHeight="1">
      <c r="A58" s="3468" t="e">
        <f>CONCATENATE(#REF!," ",#REF!,", ",#REF!,", ",#REF!," County")</f>
        <v>#REF!</v>
      </c>
      <c r="B58" s="3468"/>
      <c r="C58" s="3468"/>
      <c r="D58" s="3468"/>
      <c r="E58" s="3468"/>
      <c r="F58" s="3468"/>
      <c r="G58" s="3468" t="e">
        <f>CONCATENATE(#REF!," ",#REF!,", ",#REF!,", ",#REF!," County")</f>
        <v>#REF!</v>
      </c>
      <c r="H58" s="3468"/>
      <c r="I58" s="3468"/>
      <c r="J58" s="3468"/>
      <c r="K58" s="3468"/>
      <c r="L58" s="3468"/>
    </row>
    <row r="59" spans="1:12" ht="15">
      <c r="A59" s="3465" t="s">
        <v>2359</v>
      </c>
      <c r="B59" s="3465"/>
      <c r="C59" s="3465"/>
      <c r="D59" s="3465"/>
      <c r="E59" s="3465"/>
      <c r="F59" s="3465"/>
      <c r="G59" s="3465" t="s">
        <v>2359</v>
      </c>
      <c r="H59" s="3465"/>
      <c r="I59" s="3465"/>
      <c r="J59" s="3465"/>
      <c r="K59" s="3465"/>
      <c r="L59" s="3465"/>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473" t="e">
        <f>CONCATENATE("PART III C  - HUD INSURED LOAN","  -  ",#REF!," ",#REF!,", ",#REF!,", ",#REF!," County")</f>
        <v>#REF!</v>
      </c>
      <c r="B1" s="3474"/>
      <c r="C1" s="3474"/>
      <c r="D1" s="3474"/>
      <c r="E1" s="3474"/>
      <c r="F1" s="3475"/>
      <c r="G1" s="160"/>
      <c r="H1" s="160"/>
      <c r="I1" s="160"/>
      <c r="J1" s="160"/>
      <c r="K1" s="160"/>
      <c r="L1" s="160"/>
      <c r="M1" s="160"/>
      <c r="N1" s="160"/>
      <c r="O1" s="160"/>
      <c r="P1" s="160"/>
      <c r="Q1" s="160"/>
    </row>
    <row r="2" spans="1:17">
      <c r="A2" s="13"/>
      <c r="B2" s="179"/>
      <c r="C2" s="179"/>
      <c r="D2" s="179"/>
    </row>
    <row r="3" spans="1:17" ht="15.6" customHeight="1">
      <c r="A3" s="3466" t="s">
        <v>209</v>
      </c>
      <c r="B3" s="3466"/>
      <c r="C3" s="3466"/>
      <c r="D3" s="3466"/>
      <c r="E3" s="3466"/>
      <c r="F3" s="3466"/>
      <c r="G3" s="222"/>
      <c r="H3" s="222"/>
    </row>
    <row r="4" spans="1:17">
      <c r="A4" s="13"/>
      <c r="B4" s="179"/>
      <c r="C4" s="179"/>
      <c r="D4" s="179"/>
    </row>
    <row r="5" spans="1:17" ht="13.35" customHeight="1">
      <c r="A5" s="27" t="s">
        <v>2152</v>
      </c>
      <c r="D5" s="217"/>
      <c r="E5" s="3477" t="s">
        <v>920</v>
      </c>
      <c r="F5" s="3478"/>
      <c r="G5" s="158"/>
    </row>
    <row r="6" spans="1:17">
      <c r="E6" s="3478"/>
      <c r="F6" s="3478"/>
      <c r="G6" s="158"/>
    </row>
    <row r="7" spans="1:17">
      <c r="A7" s="27" t="s">
        <v>2351</v>
      </c>
      <c r="C7" s="27" t="s">
        <v>2352</v>
      </c>
      <c r="D7" s="218"/>
      <c r="E7" s="3478"/>
      <c r="F7" s="3478"/>
      <c r="G7" s="158"/>
    </row>
    <row r="8" spans="1:17">
      <c r="C8" s="27" t="s">
        <v>2353</v>
      </c>
      <c r="D8" s="218"/>
      <c r="E8" s="3478"/>
      <c r="F8" s="3478"/>
      <c r="G8" s="158"/>
    </row>
    <row r="9" spans="1:17">
      <c r="C9" s="27" t="s">
        <v>2354</v>
      </c>
      <c r="D9" s="218"/>
      <c r="E9" s="3478"/>
      <c r="F9" s="3478"/>
      <c r="G9" s="158"/>
    </row>
    <row r="10" spans="1:17">
      <c r="C10" s="27" t="s">
        <v>2367</v>
      </c>
      <c r="D10" s="223">
        <f>D7+D8+D9</f>
        <v>0</v>
      </c>
      <c r="E10" s="3478"/>
      <c r="F10" s="3478"/>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467" t="s">
        <v>1640</v>
      </c>
      <c r="B24" s="3467"/>
      <c r="C24" s="3467"/>
      <c r="D24" s="3467"/>
      <c r="E24" s="3467"/>
      <c r="F24" s="3467"/>
      <c r="J24" s="226"/>
    </row>
    <row r="25" spans="1:10">
      <c r="C25" s="189"/>
      <c r="J25" s="226"/>
    </row>
    <row r="26" spans="1:10">
      <c r="A26" s="103"/>
      <c r="B26" s="80"/>
      <c r="C26" s="3479" t="s">
        <v>2151</v>
      </c>
      <c r="D26" s="221"/>
      <c r="E26" s="80"/>
      <c r="F26" s="3479" t="s">
        <v>2151</v>
      </c>
      <c r="J26" s="226"/>
    </row>
    <row r="27" spans="1:10">
      <c r="A27" s="227" t="s">
        <v>2368</v>
      </c>
      <c r="B27" s="71" t="s">
        <v>987</v>
      </c>
      <c r="C27" s="3480"/>
      <c r="D27" s="228" t="s">
        <v>2368</v>
      </c>
      <c r="E27" s="71" t="s">
        <v>987</v>
      </c>
      <c r="F27" s="3480"/>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468" t="e">
        <f>CONCATENATE(#REF!," ",#REF!,", ",#REF!,", ",#REF!," County")</f>
        <v>#REF!</v>
      </c>
      <c r="B50" s="3468"/>
      <c r="C50" s="3468"/>
      <c r="D50" s="3468"/>
      <c r="E50" s="3468"/>
      <c r="F50" s="3468"/>
      <c r="G50" s="212"/>
      <c r="H50" s="212"/>
    </row>
    <row r="51" spans="1:10" ht="15">
      <c r="A51" s="3465" t="s">
        <v>2359</v>
      </c>
      <c r="B51" s="3465"/>
      <c r="C51" s="3465"/>
      <c r="D51" s="3465"/>
      <c r="E51" s="3465"/>
      <c r="F51" s="3465"/>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4"/>
    <col min="53" max="16384" width="9.140625" style="331"/>
  </cols>
  <sheetData>
    <row r="1" spans="1:52" s="1806" customFormat="1" ht="12" hidden="1" customHeight="1">
      <c r="A1" s="1809"/>
      <c r="B1" s="1809" t="s">
        <v>6617</v>
      </c>
      <c r="C1" s="1809"/>
      <c r="D1" s="1809"/>
      <c r="E1" s="1809" t="s">
        <v>6636</v>
      </c>
      <c r="F1" s="1809"/>
      <c r="G1" s="2779"/>
      <c r="H1" s="2779" t="s">
        <v>6637</v>
      </c>
      <c r="I1" s="2779" t="s">
        <v>6638</v>
      </c>
      <c r="J1" s="2779"/>
      <c r="K1" s="2779" t="s">
        <v>6639</v>
      </c>
      <c r="L1" s="2779" t="s">
        <v>6640</v>
      </c>
      <c r="M1" s="1806" t="s">
        <v>6641</v>
      </c>
      <c r="N1" s="1806" t="s">
        <v>6642</v>
      </c>
      <c r="P1" s="1806" t="s">
        <v>6643</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2021-018 Roswell Redevelopment Phase I, Roswell, Fulton County</v>
      </c>
      <c r="B2" s="3393"/>
      <c r="C2" s="3393"/>
      <c r="D2" s="3393"/>
      <c r="E2" s="3393"/>
      <c r="F2" s="3393"/>
      <c r="G2" s="3393"/>
      <c r="H2" s="3393"/>
      <c r="I2" s="3393"/>
      <c r="J2" s="3393"/>
      <c r="K2" s="3393"/>
      <c r="L2" s="3393"/>
      <c r="M2" s="3393"/>
      <c r="N2" s="3393"/>
      <c r="O2" s="3393"/>
      <c r="P2" s="3393"/>
      <c r="Q2" s="3394"/>
      <c r="S2" s="3494" t="str">
        <f>$A$2</f>
        <v>PART THREE - SOURCES OF FUNDS (Proposed)  -  2021-018 Roswell Redevelopment Phase I, Roswell, Fulton County</v>
      </c>
      <c r="T2" s="3494"/>
      <c r="Y2" s="1807"/>
      <c r="Z2" s="1773">
        <v>2</v>
      </c>
      <c r="AZ2" s="2780"/>
    </row>
    <row r="3" spans="1:52" ht="17.45" customHeight="1">
      <c r="A3" s="307"/>
      <c r="B3" s="307"/>
      <c r="C3" s="307"/>
      <c r="D3" s="307"/>
      <c r="E3" s="307"/>
      <c r="F3" s="307"/>
      <c r="G3" s="1068"/>
      <c r="H3" s="1068"/>
      <c r="I3" s="1068"/>
      <c r="J3" s="1068"/>
      <c r="K3" s="1068"/>
      <c r="L3" s="1068"/>
      <c r="Y3" s="1807"/>
      <c r="Z3" s="1773">
        <v>3</v>
      </c>
      <c r="AZ3" s="2780"/>
    </row>
    <row r="4" spans="1:52" s="265" customFormat="1" ht="13.35" customHeight="1">
      <c r="A4" s="291" t="s">
        <v>586</v>
      </c>
      <c r="B4" s="299" t="s">
        <v>2378</v>
      </c>
      <c r="C4" s="289"/>
      <c r="D4" s="2628"/>
      <c r="E4" s="2628"/>
      <c r="F4" s="2628"/>
      <c r="G4" s="2628"/>
      <c r="L4" s="3513" t="str">
        <f>'Part I-Project Information'!$B$7</f>
        <v>2021 Core App
May 10 Rev</v>
      </c>
      <c r="M4" s="3514"/>
      <c r="N4" s="3514"/>
      <c r="O4" s="3514"/>
      <c r="P4" s="3515"/>
      <c r="S4" s="332" t="str">
        <f>B4</f>
        <v>GOVERNMENT FUNDING SOURCES  (check all that apply)</v>
      </c>
      <c r="Y4" s="1807"/>
      <c r="Z4" s="1773">
        <v>4</v>
      </c>
      <c r="AZ4" s="2780"/>
    </row>
    <row r="5" spans="1:52" s="265" customFormat="1" ht="15.75" customHeight="1">
      <c r="A5" s="315"/>
      <c r="B5" s="1711"/>
      <c r="C5" s="310"/>
      <c r="D5" s="2628"/>
      <c r="E5" s="2628"/>
      <c r="F5" s="2628"/>
      <c r="G5" s="2628"/>
      <c r="S5" s="3495" t="s">
        <v>2537</v>
      </c>
      <c r="T5" s="3495"/>
      <c r="Y5" s="1807"/>
      <c r="Z5" s="1773">
        <v>5</v>
      </c>
      <c r="AZ5" s="2780"/>
    </row>
    <row r="6" spans="1:52" s="265" customFormat="1" ht="16.5" customHeight="1">
      <c r="A6" s="1711"/>
      <c r="B6" s="2692" t="s">
        <v>2769</v>
      </c>
      <c r="C6" s="266" t="s">
        <v>2300</v>
      </c>
      <c r="D6" s="289"/>
      <c r="E6" s="2692" t="s">
        <v>2772</v>
      </c>
      <c r="F6" s="266" t="s">
        <v>6289</v>
      </c>
      <c r="G6" s="289"/>
      <c r="I6" s="3505"/>
      <c r="J6" s="3506"/>
      <c r="L6" s="2692" t="s">
        <v>2772</v>
      </c>
      <c r="M6" s="266" t="s">
        <v>1475</v>
      </c>
      <c r="Q6" s="1692"/>
      <c r="S6" s="3496"/>
      <c r="T6" s="3497"/>
      <c r="Y6" s="1807"/>
      <c r="Z6" s="1773">
        <v>6</v>
      </c>
      <c r="AZ6" s="2780"/>
    </row>
    <row r="7" spans="1:52" s="265" customFormat="1" ht="16.5" customHeight="1">
      <c r="A7" s="1711"/>
      <c r="B7" s="2680" t="s">
        <v>2772</v>
      </c>
      <c r="C7" s="266" t="s">
        <v>4056</v>
      </c>
      <c r="D7" s="289"/>
      <c r="E7" s="2693" t="s">
        <v>2772</v>
      </c>
      <c r="F7" s="266" t="s">
        <v>6290</v>
      </c>
      <c r="I7" s="3507"/>
      <c r="J7" s="3508"/>
      <c r="L7" s="2692" t="s">
        <v>2772</v>
      </c>
      <c r="M7" s="266" t="s">
        <v>523</v>
      </c>
      <c r="P7" s="1692"/>
      <c r="Q7" s="1692"/>
      <c r="S7" s="3498"/>
      <c r="T7" s="3499"/>
      <c r="Y7" s="1807"/>
      <c r="Z7" s="1773">
        <v>7</v>
      </c>
      <c r="AZ7" s="2780"/>
    </row>
    <row r="8" spans="1:52" s="265" customFormat="1" ht="16.5" customHeight="1">
      <c r="A8" s="289"/>
      <c r="B8" s="2680" t="s">
        <v>2772</v>
      </c>
      <c r="C8" s="266" t="s">
        <v>524</v>
      </c>
      <c r="F8" s="265" t="s">
        <v>6291</v>
      </c>
      <c r="H8" s="3502" t="s">
        <v>3186</v>
      </c>
      <c r="I8" s="3503"/>
      <c r="J8" s="3504"/>
      <c r="L8" s="2692" t="s">
        <v>2772</v>
      </c>
      <c r="M8" s="284" t="s">
        <v>3275</v>
      </c>
      <c r="P8" s="1692"/>
      <c r="Q8" s="1692"/>
      <c r="S8" s="3498"/>
      <c r="T8" s="3499"/>
      <c r="Y8" s="1807"/>
      <c r="Z8" s="1773">
        <v>8</v>
      </c>
      <c r="AZ8" s="2780"/>
    </row>
    <row r="9" spans="1:52" s="265" customFormat="1" ht="16.5" customHeight="1">
      <c r="A9" s="1711"/>
      <c r="B9" s="2680" t="s">
        <v>2772</v>
      </c>
      <c r="C9" s="265" t="s">
        <v>3439</v>
      </c>
      <c r="E9" s="2781" t="s">
        <v>2772</v>
      </c>
      <c r="F9" s="3509" t="s">
        <v>3922</v>
      </c>
      <c r="G9" s="3245"/>
      <c r="H9" s="3245"/>
      <c r="I9" s="3245"/>
      <c r="J9" s="3356"/>
      <c r="L9" s="2692" t="s">
        <v>2772</v>
      </c>
      <c r="M9" s="284" t="s">
        <v>4057</v>
      </c>
      <c r="Q9" s="1692"/>
      <c r="S9" s="3500"/>
      <c r="T9" s="3501"/>
      <c r="Y9" s="1807"/>
      <c r="Z9" s="1773">
        <v>9</v>
      </c>
      <c r="AZ9" s="2780"/>
    </row>
    <row r="10" spans="1:52" s="265" customFormat="1" ht="16.5" customHeight="1">
      <c r="A10" s="1711"/>
      <c r="B10" s="2680" t="s">
        <v>2772</v>
      </c>
      <c r="C10" s="266" t="s">
        <v>2481</v>
      </c>
      <c r="F10" s="3510" t="s">
        <v>3924</v>
      </c>
      <c r="G10" s="3511"/>
      <c r="H10" s="3511"/>
      <c r="I10" s="3511"/>
      <c r="J10" s="3512"/>
      <c r="L10" s="2692" t="s">
        <v>2772</v>
      </c>
      <c r="M10" s="266" t="s">
        <v>3318</v>
      </c>
      <c r="P10" s="1692"/>
      <c r="Q10" s="1692"/>
      <c r="S10" s="3496"/>
      <c r="T10" s="3497"/>
      <c r="Y10" s="1807"/>
      <c r="Z10" s="1773">
        <v>10</v>
      </c>
      <c r="AZ10" s="2780"/>
    </row>
    <row r="11" spans="1:52" s="265" customFormat="1" ht="16.5" customHeight="1">
      <c r="A11" s="1711"/>
      <c r="B11" s="2680" t="s">
        <v>2772</v>
      </c>
      <c r="C11" s="266" t="s">
        <v>2482</v>
      </c>
      <c r="E11" s="2781" t="s">
        <v>2772</v>
      </c>
      <c r="F11" s="3509" t="s">
        <v>3923</v>
      </c>
      <c r="G11" s="3245"/>
      <c r="H11" s="3245"/>
      <c r="I11" s="3245"/>
      <c r="J11" s="3356"/>
      <c r="L11" s="2692" t="s">
        <v>2772</v>
      </c>
      <c r="M11" s="265" t="s">
        <v>2486</v>
      </c>
      <c r="S11" s="3498"/>
      <c r="T11" s="3499"/>
      <c r="Y11" s="1807"/>
      <c r="Z11" s="1773">
        <v>11</v>
      </c>
      <c r="AZ11" s="2780"/>
    </row>
    <row r="12" spans="1:52" s="265" customFormat="1" ht="16.5" customHeight="1">
      <c r="A12" s="1711"/>
      <c r="B12" s="2680" t="s">
        <v>2772</v>
      </c>
      <c r="C12" s="284" t="s">
        <v>3321</v>
      </c>
      <c r="F12" s="3510" t="s">
        <v>3925</v>
      </c>
      <c r="G12" s="3511"/>
      <c r="H12" s="3511"/>
      <c r="I12" s="3511"/>
      <c r="J12" s="3512"/>
      <c r="L12" s="2692" t="s">
        <v>2772</v>
      </c>
      <c r="M12" s="265" t="s">
        <v>3351</v>
      </c>
      <c r="S12" s="3498"/>
      <c r="T12" s="3499"/>
      <c r="Y12" s="1807"/>
      <c r="Z12" s="1773">
        <v>12</v>
      </c>
      <c r="AZ12" s="2780"/>
    </row>
    <row r="13" spans="1:52" s="265" customFormat="1" ht="16.5" customHeight="1">
      <c r="A13" s="1711"/>
      <c r="B13" s="2680" t="s">
        <v>2772</v>
      </c>
      <c r="C13" s="284" t="s">
        <v>2485</v>
      </c>
      <c r="E13" s="2692" t="s">
        <v>2772</v>
      </c>
      <c r="F13" s="284" t="s">
        <v>3350</v>
      </c>
      <c r="H13" s="3502" t="s">
        <v>6926</v>
      </c>
      <c r="I13" s="3503"/>
      <c r="J13" s="3504"/>
      <c r="L13" s="2692" t="s">
        <v>2772</v>
      </c>
      <c r="M13" s="265" t="s">
        <v>6288</v>
      </c>
      <c r="S13" s="3498"/>
      <c r="T13" s="3499"/>
      <c r="Y13" s="1807"/>
      <c r="Z13" s="1773">
        <v>13</v>
      </c>
      <c r="AZ13" s="2780"/>
    </row>
    <row r="14" spans="1:52" s="265" customFormat="1" ht="16.5" customHeight="1">
      <c r="A14" s="1711"/>
      <c r="B14" s="2680" t="s">
        <v>2772</v>
      </c>
      <c r="C14" s="265" t="s">
        <v>2484</v>
      </c>
      <c r="E14" s="2680" t="s">
        <v>2772</v>
      </c>
      <c r="F14" s="284" t="s">
        <v>3438</v>
      </c>
      <c r="L14" s="2680" t="s">
        <v>2769</v>
      </c>
      <c r="M14" s="265" t="s">
        <v>6534</v>
      </c>
      <c r="S14" s="3500"/>
      <c r="T14" s="3501"/>
      <c r="Y14" s="1807"/>
      <c r="Z14" s="1773">
        <v>14</v>
      </c>
      <c r="AZ14" s="2780"/>
    </row>
    <row r="15" spans="1:52" s="265" customFormat="1" ht="16.5" customHeight="1">
      <c r="A15" s="1711"/>
      <c r="B15" s="2680" t="s">
        <v>2772</v>
      </c>
      <c r="C15" s="265" t="s">
        <v>3349</v>
      </c>
      <c r="E15" s="2680" t="s">
        <v>2772</v>
      </c>
      <c r="F15" s="284" t="s">
        <v>6292</v>
      </c>
      <c r="L15" s="2680" t="s">
        <v>2772</v>
      </c>
      <c r="M15" s="1693" t="s">
        <v>6293</v>
      </c>
      <c r="Y15" s="1807"/>
      <c r="Z15" s="1773">
        <v>15</v>
      </c>
      <c r="AZ15" s="2780"/>
    </row>
    <row r="16" spans="1:52" s="265" customFormat="1" ht="16.5" customHeight="1">
      <c r="A16" s="1711"/>
      <c r="B16" s="2680" t="s">
        <v>2772</v>
      </c>
      <c r="C16" s="266" t="s">
        <v>1720</v>
      </c>
      <c r="E16" s="2693" t="s">
        <v>2772</v>
      </c>
      <c r="F16" s="266" t="s">
        <v>6832</v>
      </c>
      <c r="I16" s="3481"/>
      <c r="J16" s="3482"/>
      <c r="L16" s="2693" t="s">
        <v>2772</v>
      </c>
      <c r="M16" s="1693" t="s">
        <v>6287</v>
      </c>
      <c r="Y16" s="1807"/>
      <c r="Z16" s="1773">
        <v>16</v>
      </c>
      <c r="AZ16" s="2780"/>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0"/>
    </row>
    <row r="18" spans="1:52" s="265" customFormat="1" ht="12" customHeight="1">
      <c r="A18" s="1711"/>
      <c r="L18" s="289"/>
      <c r="M18" s="312"/>
      <c r="N18" s="289"/>
      <c r="O18" s="289"/>
      <c r="P18" s="289"/>
      <c r="Q18" s="289"/>
      <c r="Y18" s="2782"/>
      <c r="Z18" s="1773">
        <v>18</v>
      </c>
      <c r="AZ18" s="2783"/>
    </row>
    <row r="19" spans="1:52" s="332" customFormat="1" ht="15" customHeight="1">
      <c r="A19" s="291" t="s">
        <v>710</v>
      </c>
      <c r="B19" s="1662" t="s">
        <v>2241</v>
      </c>
      <c r="C19" s="289"/>
      <c r="D19" s="2628"/>
      <c r="E19" s="289"/>
      <c r="F19" s="289"/>
      <c r="G19" s="289"/>
      <c r="L19" s="289"/>
      <c r="M19" s="2628"/>
      <c r="N19" s="3483"/>
      <c r="O19" s="3483"/>
      <c r="P19" s="289"/>
      <c r="Q19" s="289"/>
      <c r="S19" s="332" t="str">
        <f>B19</f>
        <v>CONSTRUCTION FINANCING</v>
      </c>
      <c r="Y19" s="2782"/>
      <c r="Z19" s="1773">
        <v>19</v>
      </c>
      <c r="AZ19" s="2783"/>
    </row>
    <row r="20" spans="1:52" s="332" customFormat="1" ht="5.25" customHeight="1">
      <c r="A20" s="291"/>
      <c r="B20" s="1662"/>
      <c r="C20" s="289"/>
      <c r="K20" s="289"/>
      <c r="L20" s="289"/>
      <c r="M20" s="2628"/>
      <c r="N20" s="2623"/>
      <c r="O20" s="2623"/>
      <c r="P20" s="289"/>
      <c r="Q20" s="289"/>
      <c r="Y20" s="2782"/>
      <c r="Z20" s="1773">
        <v>20</v>
      </c>
      <c r="AZ20" s="2780"/>
    </row>
    <row r="21" spans="1:52" s="265" customFormat="1" ht="17.100000000000001" customHeight="1">
      <c r="A21" s="289"/>
      <c r="B21" s="2620" t="s">
        <v>1784</v>
      </c>
      <c r="C21" s="289"/>
      <c r="D21" s="289"/>
      <c r="E21" s="289"/>
      <c r="F21" s="289"/>
      <c r="G21" s="289"/>
      <c r="H21" s="3484" t="s">
        <v>1249</v>
      </c>
      <c r="I21" s="3484"/>
      <c r="J21" s="3484"/>
      <c r="K21" s="3484"/>
      <c r="L21" s="3200" t="s">
        <v>4021</v>
      </c>
      <c r="M21" s="3200"/>
      <c r="N21" s="3200" t="s">
        <v>1446</v>
      </c>
      <c r="O21" s="3200"/>
      <c r="P21" s="3200" t="s">
        <v>1564</v>
      </c>
      <c r="Q21" s="3200"/>
      <c r="S21" s="3495" t="s">
        <v>2537</v>
      </c>
      <c r="T21" s="3495"/>
      <c r="Y21" s="1807"/>
      <c r="Z21" s="1773">
        <v>21</v>
      </c>
      <c r="AZ21" s="2780" t="s">
        <v>6651</v>
      </c>
    </row>
    <row r="22" spans="1:52" s="265" customFormat="1" ht="15.75" customHeight="1">
      <c r="A22" s="289"/>
      <c r="B22" s="3516" t="s">
        <v>1525</v>
      </c>
      <c r="C22" s="3517"/>
      <c r="D22" s="3517"/>
      <c r="E22" s="2626"/>
      <c r="F22" s="2626"/>
      <c r="G22" s="2626"/>
      <c r="H22" s="3518" t="s">
        <v>6927</v>
      </c>
      <c r="I22" s="3519"/>
      <c r="J22" s="3519"/>
      <c r="K22" s="3520"/>
      <c r="L22" s="3521">
        <v>3983100</v>
      </c>
      <c r="M22" s="3522"/>
      <c r="N22" s="3523">
        <v>2.9499999999999998E-2</v>
      </c>
      <c r="O22" s="3524"/>
      <c r="P22" s="3525">
        <v>24</v>
      </c>
      <c r="Q22" s="3526"/>
      <c r="S22" s="3496"/>
      <c r="T22" s="3497"/>
      <c r="Y22" s="1807" t="s">
        <v>6651</v>
      </c>
      <c r="Z22" s="1773">
        <v>22</v>
      </c>
      <c r="AZ22" s="2780" t="s">
        <v>6652</v>
      </c>
    </row>
    <row r="23" spans="1:52" s="265" customFormat="1" ht="15.75" customHeight="1">
      <c r="A23" s="289"/>
      <c r="B23" s="3527" t="s">
        <v>1526</v>
      </c>
      <c r="C23" s="3528"/>
      <c r="D23" s="3528"/>
      <c r="E23" s="2628"/>
      <c r="F23" s="2628"/>
      <c r="G23" s="2628"/>
      <c r="H23" s="3529"/>
      <c r="I23" s="3530"/>
      <c r="J23" s="3530"/>
      <c r="K23" s="3531"/>
      <c r="L23" s="3532"/>
      <c r="M23" s="3533"/>
      <c r="N23" s="3542"/>
      <c r="O23" s="3543"/>
      <c r="P23" s="3544"/>
      <c r="Q23" s="3545"/>
      <c r="S23" s="3498"/>
      <c r="T23" s="3499"/>
      <c r="Y23" s="1807" t="s">
        <v>6652</v>
      </c>
      <c r="Z23" s="1773">
        <v>23</v>
      </c>
      <c r="AZ23" s="2780" t="s">
        <v>6653</v>
      </c>
    </row>
    <row r="24" spans="1:52" s="265" customFormat="1" ht="15.75" customHeight="1">
      <c r="A24" s="289"/>
      <c r="B24" s="3546" t="s">
        <v>1527</v>
      </c>
      <c r="C24" s="3547"/>
      <c r="D24" s="3547"/>
      <c r="E24" s="2631"/>
      <c r="F24" s="2631"/>
      <c r="G24" s="2631"/>
      <c r="H24" s="3485"/>
      <c r="I24" s="3486"/>
      <c r="J24" s="3486"/>
      <c r="K24" s="3487"/>
      <c r="L24" s="3488"/>
      <c r="M24" s="3489"/>
      <c r="N24" s="3490"/>
      <c r="O24" s="3491"/>
      <c r="P24" s="3492"/>
      <c r="Q24" s="3493"/>
      <c r="S24" s="3498"/>
      <c r="T24" s="3499"/>
      <c r="Y24" s="1807" t="s">
        <v>6653</v>
      </c>
      <c r="Z24" s="1773">
        <v>24</v>
      </c>
      <c r="AZ24" s="2780" t="s">
        <v>6654</v>
      </c>
    </row>
    <row r="25" spans="1:52" s="265" customFormat="1" ht="15.75" customHeight="1">
      <c r="A25" s="289"/>
      <c r="B25" s="3516" t="s">
        <v>2114</v>
      </c>
      <c r="C25" s="3517"/>
      <c r="D25" s="3517"/>
      <c r="E25" s="2628"/>
      <c r="F25" s="2628"/>
      <c r="G25" s="2628"/>
      <c r="H25" s="3534"/>
      <c r="I25" s="3535"/>
      <c r="J25" s="3535"/>
      <c r="K25" s="3536"/>
      <c r="L25" s="3537"/>
      <c r="M25" s="3538"/>
      <c r="N25" s="3539"/>
      <c r="O25" s="3540"/>
      <c r="P25" s="3541"/>
      <c r="Q25" s="3541"/>
      <c r="S25" s="3498"/>
      <c r="T25" s="3499"/>
      <c r="Y25" s="1807" t="s">
        <v>6654</v>
      </c>
      <c r="Z25" s="1773">
        <v>25</v>
      </c>
      <c r="AZ25" s="2780" t="s">
        <v>6655</v>
      </c>
    </row>
    <row r="26" spans="1:52" s="265" customFormat="1" ht="15.75" customHeight="1">
      <c r="A26" s="289"/>
      <c r="B26" s="3527" t="s">
        <v>768</v>
      </c>
      <c r="C26" s="3528"/>
      <c r="D26" s="3528"/>
      <c r="E26" s="2628"/>
      <c r="H26" s="3529"/>
      <c r="I26" s="3530"/>
      <c r="J26" s="3530"/>
      <c r="K26" s="3531"/>
      <c r="L26" s="3532"/>
      <c r="M26" s="3533"/>
      <c r="N26" s="3539"/>
      <c r="O26" s="3540"/>
      <c r="P26" s="3541"/>
      <c r="Q26" s="3541"/>
      <c r="S26" s="3498"/>
      <c r="T26" s="3499"/>
      <c r="Y26" s="1807" t="s">
        <v>6655</v>
      </c>
      <c r="Z26" s="1773">
        <v>26</v>
      </c>
      <c r="AZ26" s="2780" t="s">
        <v>6656</v>
      </c>
    </row>
    <row r="27" spans="1:52" s="265" customFormat="1" ht="15.75" customHeight="1">
      <c r="A27" s="289"/>
      <c r="B27" s="3527" t="s">
        <v>611</v>
      </c>
      <c r="C27" s="3528"/>
      <c r="D27" s="3528"/>
      <c r="E27" s="2628"/>
      <c r="H27" s="3529" t="s">
        <v>6959</v>
      </c>
      <c r="I27" s="3530"/>
      <c r="J27" s="3530"/>
      <c r="K27" s="3531"/>
      <c r="L27" s="3532">
        <v>269212</v>
      </c>
      <c r="M27" s="3533"/>
      <c r="N27" s="3539"/>
      <c r="O27" s="3540"/>
      <c r="P27" s="3541"/>
      <c r="Q27" s="3541"/>
      <c r="S27" s="3498"/>
      <c r="T27" s="3499"/>
      <c r="Y27" s="1807" t="s">
        <v>6656</v>
      </c>
      <c r="Z27" s="1773">
        <v>27</v>
      </c>
      <c r="AZ27" s="2780" t="s">
        <v>6657</v>
      </c>
    </row>
    <row r="28" spans="1:52" s="265" customFormat="1" ht="15.75" customHeight="1">
      <c r="A28" s="289"/>
      <c r="B28" s="3527" t="s">
        <v>769</v>
      </c>
      <c r="C28" s="3528"/>
      <c r="D28" s="3528"/>
      <c r="E28" s="2628"/>
      <c r="H28" s="3529" t="s">
        <v>6889</v>
      </c>
      <c r="I28" s="3530"/>
      <c r="J28" s="3530"/>
      <c r="K28" s="3531"/>
      <c r="L28" s="3532">
        <f>7456310-1500</f>
        <v>7454810</v>
      </c>
      <c r="M28" s="3533"/>
      <c r="N28" s="289"/>
      <c r="Q28" s="289"/>
      <c r="S28" s="3500"/>
      <c r="T28" s="3501"/>
      <c r="Y28" s="1807" t="s">
        <v>6657</v>
      </c>
      <c r="Z28" s="1773">
        <v>28</v>
      </c>
      <c r="AZ28" s="2780" t="s">
        <v>6658</v>
      </c>
    </row>
    <row r="29" spans="1:52" s="265" customFormat="1" ht="15.75" customHeight="1">
      <c r="A29" s="289"/>
      <c r="B29" s="3527" t="s">
        <v>770</v>
      </c>
      <c r="C29" s="3528"/>
      <c r="D29" s="3528"/>
      <c r="E29" s="2628"/>
      <c r="H29" s="3529" t="s">
        <v>6889</v>
      </c>
      <c r="I29" s="3530"/>
      <c r="J29" s="3530"/>
      <c r="K29" s="3531"/>
      <c r="L29" s="3532">
        <f>4709247.72812628-32.7281262800097</f>
        <v>4709215</v>
      </c>
      <c r="M29" s="3533"/>
      <c r="N29" s="289"/>
      <c r="Q29" s="289"/>
      <c r="S29" s="3496"/>
      <c r="T29" s="3497"/>
      <c r="Y29" s="1807" t="s">
        <v>6658</v>
      </c>
      <c r="Z29" s="1773">
        <v>29</v>
      </c>
      <c r="AZ29" s="2780" t="s">
        <v>6659</v>
      </c>
    </row>
    <row r="30" spans="1:52" s="265" customFormat="1" ht="15.75" customHeight="1">
      <c r="A30" s="289"/>
      <c r="B30" s="2627" t="s">
        <v>231</v>
      </c>
      <c r="C30" s="2628"/>
      <c r="D30" s="3548"/>
      <c r="E30" s="3548"/>
      <c r="F30" s="3548"/>
      <c r="G30" s="3548"/>
      <c r="H30" s="3529"/>
      <c r="I30" s="3530"/>
      <c r="J30" s="3530"/>
      <c r="K30" s="3531"/>
      <c r="L30" s="3532"/>
      <c r="M30" s="3533"/>
      <c r="N30" s="289"/>
      <c r="Q30" s="289"/>
      <c r="S30" s="3498"/>
      <c r="T30" s="3499"/>
      <c r="Y30" s="1807" t="s">
        <v>6659</v>
      </c>
      <c r="Z30" s="1773">
        <v>30</v>
      </c>
      <c r="AZ30" s="2780" t="s">
        <v>6660</v>
      </c>
    </row>
    <row r="31" spans="1:52" s="265" customFormat="1" ht="15.75" customHeight="1">
      <c r="A31" s="289"/>
      <c r="B31" s="2627" t="s">
        <v>231</v>
      </c>
      <c r="C31" s="2628"/>
      <c r="D31" s="3549"/>
      <c r="E31" s="3549"/>
      <c r="F31" s="3549"/>
      <c r="G31" s="3549"/>
      <c r="H31" s="3529"/>
      <c r="I31" s="3530"/>
      <c r="J31" s="3530"/>
      <c r="K31" s="3531"/>
      <c r="L31" s="3532"/>
      <c r="M31" s="3533"/>
      <c r="N31" s="289"/>
      <c r="S31" s="3498"/>
      <c r="T31" s="3499"/>
      <c r="Y31" s="1807" t="s">
        <v>6660</v>
      </c>
      <c r="Z31" s="1773">
        <v>31</v>
      </c>
      <c r="AZ31" s="2780" t="s">
        <v>6661</v>
      </c>
    </row>
    <row r="32" spans="1:52" s="265" customFormat="1" ht="15.75" customHeight="1">
      <c r="A32" s="289"/>
      <c r="B32" s="2630" t="s">
        <v>231</v>
      </c>
      <c r="C32" s="2631"/>
      <c r="D32" s="3550"/>
      <c r="E32" s="3550"/>
      <c r="F32" s="3550"/>
      <c r="G32" s="3550"/>
      <c r="H32" s="3485"/>
      <c r="I32" s="3486"/>
      <c r="J32" s="3486"/>
      <c r="K32" s="3487"/>
      <c r="L32" s="3488"/>
      <c r="M32" s="3489"/>
      <c r="N32" s="289"/>
      <c r="S32" s="3498"/>
      <c r="T32" s="3499"/>
      <c r="Y32" s="1807" t="s">
        <v>6661</v>
      </c>
      <c r="Z32" s="1773">
        <v>32</v>
      </c>
      <c r="AZ32" s="2780"/>
    </row>
    <row r="33" spans="1:52" s="265" customFormat="1" ht="16.5" customHeight="1">
      <c r="A33" s="289"/>
      <c r="B33" s="1662" t="s">
        <v>1250</v>
      </c>
      <c r="C33" s="289"/>
      <c r="D33" s="289"/>
      <c r="E33" s="289"/>
      <c r="F33" s="289"/>
      <c r="G33" s="289"/>
      <c r="H33" s="289"/>
      <c r="I33" s="289"/>
      <c r="L33" s="3551">
        <f>SUM(L22:L32)</f>
        <v>16416337</v>
      </c>
      <c r="M33" s="3552"/>
      <c r="N33" s="307"/>
      <c r="S33" s="3498"/>
      <c r="T33" s="3499"/>
      <c r="Y33" s="1807"/>
      <c r="Z33" s="1773">
        <v>33</v>
      </c>
      <c r="AZ33" s="2780"/>
    </row>
    <row r="34" spans="1:52" s="265" customFormat="1" ht="16.5" customHeight="1">
      <c r="A34" s="289"/>
      <c r="B34" s="2620" t="s">
        <v>1251</v>
      </c>
      <c r="C34" s="289"/>
      <c r="D34" s="289"/>
      <c r="E34" s="289"/>
      <c r="F34" s="289"/>
      <c r="G34" s="289"/>
      <c r="H34" s="289"/>
      <c r="I34" s="289"/>
      <c r="L34" s="355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16416336.699996436</v>
      </c>
      <c r="M34" s="3554"/>
      <c r="N34" s="752"/>
      <c r="S34" s="3498"/>
      <c r="T34" s="3499"/>
      <c r="Y34" s="1807"/>
      <c r="Z34" s="1773">
        <v>34</v>
      </c>
      <c r="AZ34" s="2780"/>
    </row>
    <row r="35" spans="1:52" s="265" customFormat="1" ht="16.5" customHeight="1">
      <c r="A35" s="289"/>
      <c r="B35" s="2621" t="s">
        <v>2063</v>
      </c>
      <c r="C35" s="289"/>
      <c r="D35" s="289"/>
      <c r="E35" s="289"/>
      <c r="F35" s="289"/>
      <c r="G35" s="289"/>
      <c r="H35" s="289"/>
      <c r="I35" s="289"/>
      <c r="L35" s="3555">
        <f>L33-L34</f>
        <v>0.30000356398522854</v>
      </c>
      <c r="M35" s="3556"/>
      <c r="N35" s="752"/>
      <c r="S35" s="3500"/>
      <c r="T35" s="3501"/>
      <c r="Y35" s="1807"/>
      <c r="Z35" s="1773">
        <v>35</v>
      </c>
      <c r="AZ35" s="2784"/>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0"/>
    </row>
    <row r="38" spans="1:52" s="265" customFormat="1" ht="13.35" customHeight="1">
      <c r="A38" s="289"/>
      <c r="B38" s="289"/>
      <c r="C38" s="289"/>
      <c r="D38" s="289"/>
      <c r="E38" s="289"/>
      <c r="F38" s="2629"/>
      <c r="G38" s="2629"/>
      <c r="H38" s="3541"/>
      <c r="I38" s="3541"/>
      <c r="K38" s="357" t="s">
        <v>2007</v>
      </c>
      <c r="L38" s="2629" t="s">
        <v>1247</v>
      </c>
      <c r="M38" s="2629" t="s">
        <v>1252</v>
      </c>
      <c r="P38" s="3557" t="s">
        <v>31</v>
      </c>
      <c r="Q38" s="3557"/>
      <c r="S38" s="332"/>
      <c r="Y38" s="1807"/>
      <c r="Z38" s="1773">
        <v>38</v>
      </c>
      <c r="AZ38" s="2780"/>
    </row>
    <row r="39" spans="1:52" s="265" customFormat="1" ht="13.35" customHeight="1">
      <c r="A39" s="289"/>
      <c r="B39" s="2624" t="s">
        <v>1784</v>
      </c>
      <c r="C39" s="2631"/>
      <c r="D39" s="2631"/>
      <c r="E39" s="3212" t="s">
        <v>1249</v>
      </c>
      <c r="F39" s="3212"/>
      <c r="G39" s="3212"/>
      <c r="H39" s="3212"/>
      <c r="I39" s="3200" t="s">
        <v>4020</v>
      </c>
      <c r="J39" s="3200"/>
      <c r="K39" s="2618" t="s">
        <v>1722</v>
      </c>
      <c r="L39" s="2618" t="s">
        <v>2113</v>
      </c>
      <c r="M39" s="2618" t="s">
        <v>2113</v>
      </c>
      <c r="N39" s="3200" t="s">
        <v>69</v>
      </c>
      <c r="O39" s="3200"/>
      <c r="P39" s="3296"/>
      <c r="Q39" s="3296"/>
      <c r="S39" s="3495" t="s">
        <v>2537</v>
      </c>
      <c r="T39" s="3495"/>
      <c r="Y39" s="1807"/>
      <c r="Z39" s="1773">
        <v>39</v>
      </c>
      <c r="AZ39" s="2780" t="s">
        <v>6662</v>
      </c>
    </row>
    <row r="40" spans="1:52" s="265" customFormat="1" ht="15.75" customHeight="1">
      <c r="A40" s="289"/>
      <c r="B40" s="3516" t="s">
        <v>2490</v>
      </c>
      <c r="C40" s="3517"/>
      <c r="D40" s="3517"/>
      <c r="E40" s="3518" t="s">
        <v>7008</v>
      </c>
      <c r="F40" s="3519"/>
      <c r="G40" s="3519"/>
      <c r="H40" s="3520"/>
      <c r="I40" s="3579">
        <v>3000000</v>
      </c>
      <c r="J40" s="3580"/>
      <c r="K40" s="2785">
        <v>5.2499999999999998E-2</v>
      </c>
      <c r="L40" s="2691">
        <v>19</v>
      </c>
      <c r="M40" s="2691">
        <v>35</v>
      </c>
      <c r="N40" s="3562" t="s">
        <v>6958</v>
      </c>
      <c r="O40" s="3562"/>
      <c r="P40" s="3578">
        <f>IF(OR(I40&lt;=0,I40=""),"",IF(N40="Cash Flow",0,IF(N40="Amortizing",-PMT(K40/12,M40*12,I40,0,0)*12,"")))</f>
        <v>187467.49578763059</v>
      </c>
      <c r="Q40" s="3578"/>
      <c r="S40" s="3496"/>
      <c r="T40" s="3497"/>
      <c r="Y40" s="1807" t="s">
        <v>6662</v>
      </c>
      <c r="Z40" s="1773">
        <v>40</v>
      </c>
      <c r="AZ40" s="2780" t="s">
        <v>6663</v>
      </c>
    </row>
    <row r="41" spans="1:52" s="265" customFormat="1" ht="15.75" customHeight="1">
      <c r="A41" s="289"/>
      <c r="B41" s="3527" t="s">
        <v>2491</v>
      </c>
      <c r="C41" s="3528"/>
      <c r="D41" s="3528"/>
      <c r="E41" s="3529"/>
      <c r="F41" s="3530"/>
      <c r="G41" s="3530"/>
      <c r="H41" s="3531"/>
      <c r="I41" s="3559"/>
      <c r="J41" s="3560"/>
      <c r="K41" s="2786"/>
      <c r="L41" s="2680"/>
      <c r="M41" s="2680"/>
      <c r="N41" s="3558"/>
      <c r="O41" s="3558"/>
      <c r="P41" s="3561" t="str">
        <f>IF(OR(I41&lt;=0,I41=""),"",IF(N41="Cash Flow",0,IF(N41="Amortizing",-PMT(K41/12,M41*12,I41,0,0)*12,"")))</f>
        <v/>
      </c>
      <c r="Q41" s="3561"/>
      <c r="S41" s="3498"/>
      <c r="T41" s="3499"/>
      <c r="Y41" s="1807" t="s">
        <v>6663</v>
      </c>
      <c r="Z41" s="1773">
        <v>41</v>
      </c>
      <c r="AZ41" s="2780" t="s">
        <v>6664</v>
      </c>
    </row>
    <row r="42" spans="1:52" s="265" customFormat="1" ht="15.75" customHeight="1">
      <c r="A42" s="289"/>
      <c r="B42" s="3527" t="s">
        <v>2492</v>
      </c>
      <c r="C42" s="3528"/>
      <c r="D42" s="3528"/>
      <c r="E42" s="3529"/>
      <c r="F42" s="3530"/>
      <c r="G42" s="3530"/>
      <c r="H42" s="3531"/>
      <c r="I42" s="3559"/>
      <c r="J42" s="3560"/>
      <c r="K42" s="2786"/>
      <c r="L42" s="2680"/>
      <c r="M42" s="2680"/>
      <c r="N42" s="3558"/>
      <c r="O42" s="3558"/>
      <c r="P42" s="3561" t="str">
        <f>IF(OR(I42&lt;=0,I42=""),"",IF(N42="Cash Flow",0,IF(N42="Amortizing",-PMT(K42/12,M42*12,I42,0,0)*12,"")))</f>
        <v/>
      </c>
      <c r="Q42" s="3561"/>
      <c r="S42" s="3498"/>
      <c r="T42" s="3499"/>
      <c r="Y42" s="1807" t="s">
        <v>6664</v>
      </c>
      <c r="Z42" s="1773">
        <v>42</v>
      </c>
      <c r="AZ42" s="2780" t="s">
        <v>6665</v>
      </c>
    </row>
    <row r="43" spans="1:52" s="265" customFormat="1" ht="15.75" customHeight="1">
      <c r="A43" s="289"/>
      <c r="B43" s="2627" t="s">
        <v>711</v>
      </c>
      <c r="C43" s="3586"/>
      <c r="D43" s="3587"/>
      <c r="E43" s="3529"/>
      <c r="F43" s="3530"/>
      <c r="G43" s="3530"/>
      <c r="H43" s="3531"/>
      <c r="I43" s="3588"/>
      <c r="J43" s="3589"/>
      <c r="K43" s="2787"/>
      <c r="L43" s="2693"/>
      <c r="M43" s="2693"/>
      <c r="N43" s="3591"/>
      <c r="O43" s="3591"/>
      <c r="P43" s="3590" t="str">
        <f>IF(OR(I43&lt;=0,I43=""),"",IF(N43="Cash Flow",0,IF(N43="Amortizing",-PMT(K43/12,M43*12,I43,0,0)*12,"")))</f>
        <v/>
      </c>
      <c r="Q43" s="3590"/>
      <c r="S43" s="3498"/>
      <c r="T43" s="3499"/>
      <c r="Y43" s="1807" t="s">
        <v>6665</v>
      </c>
      <c r="Z43" s="1773">
        <v>43</v>
      </c>
      <c r="AZ43" s="2780" t="s">
        <v>6666</v>
      </c>
    </row>
    <row r="44" spans="1:52" s="265" customFormat="1" ht="15.75" customHeight="1">
      <c r="A44" s="289"/>
      <c r="B44" s="2627" t="s">
        <v>4143</v>
      </c>
      <c r="C44" s="2628"/>
      <c r="D44" s="2633"/>
      <c r="E44" s="3529"/>
      <c r="F44" s="3530"/>
      <c r="G44" s="3530"/>
      <c r="H44" s="3531"/>
      <c r="I44" s="3559"/>
      <c r="J44" s="3560"/>
      <c r="K44" s="437"/>
      <c r="L44" s="2636"/>
      <c r="M44" s="2636"/>
      <c r="N44" s="3593"/>
      <c r="O44" s="3593"/>
      <c r="P44" s="3592"/>
      <c r="Q44" s="3592"/>
      <c r="S44" s="3498"/>
      <c r="T44" s="3499"/>
      <c r="Y44" s="1807" t="s">
        <v>6666</v>
      </c>
      <c r="Z44" s="1773">
        <v>44</v>
      </c>
      <c r="AZ44" s="2780" t="s">
        <v>6667</v>
      </c>
    </row>
    <row r="45" spans="1:52" s="265" customFormat="1" ht="15.75" customHeight="1">
      <c r="A45" s="289"/>
      <c r="B45" s="2630" t="s">
        <v>219</v>
      </c>
      <c r="C45" s="2631"/>
      <c r="D45" s="358">
        <f>IF(OR(I45="",I45=0,'Part IV-A-Uses of Funds'!$G$127="",'Part IV-A-Uses of Funds'!$G$127=0),"",I45/'Part IV-A-Uses of Funds'!$G$127)</f>
        <v>0.17870856534475449</v>
      </c>
      <c r="E45" s="3485" t="str">
        <f>H27</f>
        <v>Oak Street I MM LLC</v>
      </c>
      <c r="F45" s="3486"/>
      <c r="G45" s="3486"/>
      <c r="H45" s="3487"/>
      <c r="I45" s="3563">
        <f>358949.858815789-1500-32.7281262800097</f>
        <v>357417.13068950898</v>
      </c>
      <c r="J45" s="3564"/>
      <c r="K45" s="2788"/>
      <c r="L45" s="2679"/>
      <c r="M45" s="2679"/>
      <c r="N45" s="3567" t="s">
        <v>1122</v>
      </c>
      <c r="O45" s="3568"/>
      <c r="P45" s="3565">
        <f>IF(OR(I45&lt;=0,I45=""),"",IF(N45="Cash Flow",0,IF(N45="Amortizing",-PMT(K45/12,M45*12,I45,0,0)*12,"")))</f>
        <v>0</v>
      </c>
      <c r="Q45" s="3566"/>
      <c r="S45" s="3498"/>
      <c r="T45" s="3499"/>
      <c r="Y45" s="1807" t="s">
        <v>6667</v>
      </c>
      <c r="Z45" s="1773">
        <v>45</v>
      </c>
      <c r="AZ45" s="2780"/>
    </row>
    <row r="46" spans="1:52" s="265" customFormat="1" ht="3" customHeight="1">
      <c r="A46" s="289"/>
      <c r="B46" s="289"/>
      <c r="C46" s="289"/>
      <c r="D46" s="289"/>
      <c r="E46" s="289"/>
      <c r="F46" s="289"/>
      <c r="G46" s="289"/>
      <c r="H46" s="289"/>
      <c r="I46" s="2789"/>
      <c r="J46" s="2790"/>
      <c r="K46" s="2791"/>
      <c r="L46" s="2629"/>
      <c r="M46" s="2629"/>
      <c r="N46" s="2792"/>
      <c r="O46" s="2792"/>
      <c r="P46" s="2629"/>
      <c r="Q46" s="2629"/>
      <c r="S46" s="3498"/>
      <c r="T46" s="3499"/>
      <c r="Y46" s="1807"/>
      <c r="Z46" s="1773">
        <v>46</v>
      </c>
      <c r="AZ46" s="2780"/>
    </row>
    <row r="47" spans="1:52" s="265" customFormat="1" ht="14.25" customHeight="1">
      <c r="A47" s="289"/>
      <c r="B47" s="926" t="s">
        <v>3557</v>
      </c>
      <c r="C47" s="2628"/>
      <c r="E47" s="265" t="s">
        <v>3510</v>
      </c>
      <c r="F47" s="3576" t="e">
        <f>IF(OR($I$45="",$I$45=0,'Part VII-Pro Forma'!$S$35=0,'Part VII-Pro Forma'!$S$35=""),"",VLOOKUP($L$45,'Part VII-Pro Forma'!$Q$21:$S$40,3))</f>
        <v>#N/A</v>
      </c>
      <c r="G47" s="3577"/>
      <c r="H47" s="552" t="s">
        <v>3556</v>
      </c>
      <c r="I47" s="3576" t="e">
        <f>IF(OR($I$45="",$I$45=0,'Part VII-Pro Forma'!$R$35=0,'Part VII-Pro Forma'!$R$35=""),"",VLOOKUP($L$45,'Part VII-Pro Forma'!$Q$21:$S$35,2))</f>
        <v>#N/A</v>
      </c>
      <c r="J47" s="3577"/>
      <c r="K47" s="552" t="s">
        <v>3558</v>
      </c>
      <c r="L47" s="3574" t="e">
        <f>IF(OR($F$47 = 0,$F$47 =""),"",$I$47/$F$47)</f>
        <v>#N/A</v>
      </c>
      <c r="M47" s="3575"/>
      <c r="N47" s="3599" t="s">
        <v>4027</v>
      </c>
      <c r="O47" s="3600"/>
      <c r="P47" s="3597">
        <f>IF(OR($I$62=0,$I$60&gt;$I$61),0,ABS($I$60-$I$61))</f>
        <v>0</v>
      </c>
      <c r="Q47" s="3598"/>
      <c r="S47" s="3498"/>
      <c r="T47" s="3499"/>
      <c r="Y47" s="1807"/>
      <c r="Z47" s="1773">
        <v>47</v>
      </c>
      <c r="AZ47" s="2780"/>
    </row>
    <row r="48" spans="1:52" s="265" customFormat="1" ht="3" customHeight="1">
      <c r="A48" s="289"/>
      <c r="B48" s="289"/>
      <c r="C48" s="289"/>
      <c r="D48" s="289"/>
      <c r="E48" s="289"/>
      <c r="F48" s="289"/>
      <c r="G48" s="289"/>
      <c r="H48" s="289"/>
      <c r="I48" s="2793"/>
      <c r="J48" s="2794"/>
      <c r="K48" s="2791"/>
      <c r="L48" s="2629"/>
      <c r="M48" s="2629"/>
      <c r="N48" s="2792"/>
      <c r="O48" s="2792"/>
      <c r="P48" s="2629"/>
      <c r="Q48" s="2629"/>
      <c r="S48" s="3500"/>
      <c r="T48" s="3501"/>
      <c r="Y48" s="1807"/>
      <c r="Z48" s="1773">
        <v>48</v>
      </c>
      <c r="AZ48" s="2780" t="s">
        <v>6668</v>
      </c>
    </row>
    <row r="49" spans="1:52" s="265" customFormat="1" ht="15.75" customHeight="1">
      <c r="A49" s="289"/>
      <c r="B49" s="3581" t="s">
        <v>2114</v>
      </c>
      <c r="C49" s="3582"/>
      <c r="D49" s="3583"/>
      <c r="E49" s="3518"/>
      <c r="F49" s="3519"/>
      <c r="G49" s="3519"/>
      <c r="H49" s="3520"/>
      <c r="I49" s="3584"/>
      <c r="J49" s="3585"/>
      <c r="K49" s="359"/>
      <c r="L49" s="359"/>
      <c r="M49" s="359"/>
      <c r="N49" s="359"/>
      <c r="O49" s="359"/>
      <c r="P49" s="389" t="s">
        <v>491</v>
      </c>
      <c r="Q49" s="359"/>
      <c r="S49" s="3496"/>
      <c r="T49" s="3497"/>
      <c r="Y49" s="1807" t="s">
        <v>6668</v>
      </c>
      <c r="Z49" s="1773">
        <v>49</v>
      </c>
      <c r="AZ49" s="2780" t="s">
        <v>6669</v>
      </c>
    </row>
    <row r="50" spans="1:52" s="265" customFormat="1" ht="15.75" customHeight="1">
      <c r="A50" s="289"/>
      <c r="B50" s="3527" t="s">
        <v>768</v>
      </c>
      <c r="C50" s="3528"/>
      <c r="D50" s="3569"/>
      <c r="E50" s="3529"/>
      <c r="F50" s="3530"/>
      <c r="G50" s="3530"/>
      <c r="H50" s="3531"/>
      <c r="I50" s="3559"/>
      <c r="J50" s="3560"/>
      <c r="L50" s="3570" t="s">
        <v>492</v>
      </c>
      <c r="M50" s="3570"/>
      <c r="N50" s="3571" t="s">
        <v>493</v>
      </c>
      <c r="O50" s="3571"/>
      <c r="P50" s="390" t="s">
        <v>2441</v>
      </c>
      <c r="Q50" s="359"/>
      <c r="S50" s="3498"/>
      <c r="T50" s="3499"/>
      <c r="Y50" s="1807" t="s">
        <v>6669</v>
      </c>
      <c r="Z50" s="1773">
        <v>50</v>
      </c>
      <c r="AZ50" s="2780" t="s">
        <v>6670</v>
      </c>
    </row>
    <row r="51" spans="1:52" s="265" customFormat="1" ht="15.75" customHeight="1">
      <c r="A51" s="289"/>
      <c r="B51" s="3527" t="s">
        <v>769</v>
      </c>
      <c r="C51" s="3528"/>
      <c r="D51" s="3569"/>
      <c r="E51" s="3529" t="s">
        <v>6889</v>
      </c>
      <c r="F51" s="3530"/>
      <c r="G51" s="3530"/>
      <c r="H51" s="3531"/>
      <c r="I51" s="3559">
        <v>9500000</v>
      </c>
      <c r="J51" s="3559"/>
      <c r="L51" s="3572">
        <f>'Part IV-A-Uses of Funds'!$J$197*10*'Part IV-A-Uses of Funds'!$N$188</f>
        <v>9500000</v>
      </c>
      <c r="M51" s="3572"/>
      <c r="N51" s="3573">
        <f>I51-L51</f>
        <v>0</v>
      </c>
      <c r="O51" s="3573"/>
      <c r="P51" s="391">
        <f>I51/I61</f>
        <v>0.50378055941050315</v>
      </c>
      <c r="Q51" s="359"/>
      <c r="S51" s="3498"/>
      <c r="T51" s="3499"/>
      <c r="Y51" s="1807" t="s">
        <v>6670</v>
      </c>
      <c r="Z51" s="1773">
        <v>51</v>
      </c>
      <c r="AZ51" s="2780" t="s">
        <v>6671</v>
      </c>
    </row>
    <row r="52" spans="1:52" s="265" customFormat="1" ht="15.75" customHeight="1">
      <c r="A52" s="289"/>
      <c r="B52" s="3527" t="s">
        <v>770</v>
      </c>
      <c r="C52" s="3528"/>
      <c r="D52" s="3569"/>
      <c r="E52" s="3529" t="s">
        <v>6889</v>
      </c>
      <c r="F52" s="3530"/>
      <c r="G52" s="3530"/>
      <c r="H52" s="3531"/>
      <c r="I52" s="3559">
        <v>6000000</v>
      </c>
      <c r="J52" s="3559"/>
      <c r="L52" s="3572">
        <f>'Part IV-A-Uses of Funds'!$J$197*10*'Part IV-A-Uses of Funds'!$Q$188</f>
        <v>6000000</v>
      </c>
      <c r="M52" s="3572"/>
      <c r="N52" s="3573">
        <f>I52-L52</f>
        <v>0</v>
      </c>
      <c r="O52" s="3573"/>
      <c r="P52" s="391">
        <f>I52/I61</f>
        <v>0.31817719541715989</v>
      </c>
      <c r="Q52" s="359"/>
      <c r="S52" s="3498"/>
      <c r="T52" s="3499"/>
      <c r="Y52" s="1807" t="s">
        <v>6671</v>
      </c>
      <c r="Z52" s="1773">
        <v>52</v>
      </c>
      <c r="AZ52" s="2780" t="s">
        <v>6672</v>
      </c>
    </row>
    <row r="53" spans="1:52" s="265" customFormat="1" ht="15.75" customHeight="1">
      <c r="A53" s="289"/>
      <c r="B53" s="3527" t="s">
        <v>1360</v>
      </c>
      <c r="C53" s="3528"/>
      <c r="D53" s="3569"/>
      <c r="E53" s="3529"/>
      <c r="F53" s="3530"/>
      <c r="G53" s="3530"/>
      <c r="H53" s="3531"/>
      <c r="I53" s="3559"/>
      <c r="J53" s="3559"/>
      <c r="P53" s="392">
        <f>SUM(P51:P52)</f>
        <v>0.82195775482766309</v>
      </c>
      <c r="Q53" s="359"/>
      <c r="S53" s="3500"/>
      <c r="T53" s="3501"/>
      <c r="Y53" s="1807" t="s">
        <v>6672</v>
      </c>
      <c r="Z53" s="1773">
        <v>53</v>
      </c>
      <c r="AZ53" s="2780"/>
    </row>
    <row r="54" spans="1:52" s="265" customFormat="1" ht="15.75" customHeight="1">
      <c r="A54" s="289"/>
      <c r="B54" s="2627" t="s">
        <v>506</v>
      </c>
      <c r="C54" s="2628"/>
      <c r="D54" s="2633"/>
      <c r="E54" s="3529"/>
      <c r="F54" s="3530"/>
      <c r="G54" s="3530"/>
      <c r="H54" s="3531"/>
      <c r="I54" s="3559"/>
      <c r="J54" s="3559"/>
      <c r="K54" s="289"/>
      <c r="Q54" s="359"/>
      <c r="S54" s="3498"/>
      <c r="T54" s="3499"/>
      <c r="Y54" s="1807"/>
      <c r="Z54" s="1773">
        <v>54</v>
      </c>
      <c r="AZ54" s="2780"/>
    </row>
    <row r="55" spans="1:52" s="265" customFormat="1" ht="15.75" customHeight="1">
      <c r="A55" s="289"/>
      <c r="B55" s="2627" t="s">
        <v>1782</v>
      </c>
      <c r="C55" s="2628"/>
      <c r="D55" s="2633"/>
      <c r="E55" s="3529"/>
      <c r="F55" s="3530"/>
      <c r="G55" s="3530"/>
      <c r="H55" s="3531"/>
      <c r="I55" s="3559"/>
      <c r="J55" s="3559"/>
      <c r="N55" s="360"/>
      <c r="O55" s="360"/>
      <c r="P55" s="360"/>
      <c r="Q55" s="359"/>
      <c r="S55" s="3498"/>
      <c r="T55" s="3499"/>
      <c r="Y55" s="1807"/>
      <c r="Z55" s="1773">
        <v>55</v>
      </c>
      <c r="AZ55" s="2780"/>
    </row>
    <row r="56" spans="1:52" s="265" customFormat="1" ht="15.75" customHeight="1">
      <c r="A56" s="289"/>
      <c r="B56" s="2627" t="s">
        <v>1783</v>
      </c>
      <c r="C56" s="2628"/>
      <c r="D56" s="2633"/>
      <c r="E56" s="3529"/>
      <c r="F56" s="3530"/>
      <c r="G56" s="3530"/>
      <c r="H56" s="3531"/>
      <c r="I56" s="3559"/>
      <c r="J56" s="3559"/>
      <c r="M56" s="360"/>
      <c r="N56" s="360"/>
      <c r="O56" s="360"/>
      <c r="P56" s="360"/>
      <c r="Q56" s="359"/>
      <c r="S56" s="3498"/>
      <c r="T56" s="3499"/>
      <c r="Y56" s="1807"/>
      <c r="Z56" s="1773">
        <v>56</v>
      </c>
      <c r="AZ56" s="2780" t="s">
        <v>6673</v>
      </c>
    </row>
    <row r="57" spans="1:52" s="265" customFormat="1" ht="15.75" customHeight="1">
      <c r="A57" s="289"/>
      <c r="B57" s="2627" t="s">
        <v>711</v>
      </c>
      <c r="C57" s="3548"/>
      <c r="D57" s="3548"/>
      <c r="E57" s="3529"/>
      <c r="F57" s="3530"/>
      <c r="G57" s="3530"/>
      <c r="H57" s="3531"/>
      <c r="I57" s="3559"/>
      <c r="J57" s="3559"/>
      <c r="M57" s="360"/>
      <c r="N57" s="360"/>
      <c r="O57" s="360"/>
      <c r="P57" s="360"/>
      <c r="Q57" s="359"/>
      <c r="S57" s="3498"/>
      <c r="T57" s="3499"/>
      <c r="Y57" s="1807" t="s">
        <v>6673</v>
      </c>
      <c r="Z57" s="1773">
        <v>57</v>
      </c>
      <c r="AZ57" s="2780" t="s">
        <v>6674</v>
      </c>
    </row>
    <row r="58" spans="1:52" s="265" customFormat="1" ht="15.75" customHeight="1">
      <c r="A58" s="289"/>
      <c r="B58" s="2627" t="s">
        <v>711</v>
      </c>
      <c r="C58" s="3549"/>
      <c r="D58" s="3549"/>
      <c r="E58" s="3529"/>
      <c r="F58" s="3530"/>
      <c r="G58" s="3530"/>
      <c r="H58" s="3531"/>
      <c r="I58" s="3559"/>
      <c r="J58" s="3559"/>
      <c r="K58" s="289"/>
      <c r="L58" s="361"/>
      <c r="M58" s="360"/>
      <c r="N58" s="360"/>
      <c r="O58" s="360"/>
      <c r="P58" s="360"/>
      <c r="Q58" s="359"/>
      <c r="S58" s="3498"/>
      <c r="T58" s="3499"/>
      <c r="Y58" s="1807" t="s">
        <v>6674</v>
      </c>
      <c r="Z58" s="1773">
        <v>58</v>
      </c>
      <c r="AZ58" s="2780" t="s">
        <v>6675</v>
      </c>
    </row>
    <row r="59" spans="1:52" s="265" customFormat="1" ht="15.75" customHeight="1">
      <c r="A59" s="289"/>
      <c r="B59" s="2630" t="s">
        <v>711</v>
      </c>
      <c r="C59" s="3550"/>
      <c r="D59" s="3550"/>
      <c r="E59" s="3485"/>
      <c r="F59" s="3486"/>
      <c r="G59" s="3486"/>
      <c r="H59" s="3487"/>
      <c r="I59" s="3601"/>
      <c r="J59" s="3601"/>
      <c r="K59" s="289"/>
      <c r="L59" s="361"/>
      <c r="M59" s="360"/>
      <c r="N59" s="360"/>
      <c r="O59" s="360"/>
      <c r="P59" s="360"/>
      <c r="Q59" s="359"/>
      <c r="S59" s="3498"/>
      <c r="T59" s="3499"/>
      <c r="Y59" s="1807" t="s">
        <v>6675</v>
      </c>
      <c r="Z59" s="1773">
        <v>59</v>
      </c>
      <c r="AZ59" s="2780"/>
    </row>
    <row r="60" spans="1:52" s="265" customFormat="1" ht="14.25" customHeight="1">
      <c r="A60" s="289"/>
      <c r="B60" s="2620" t="s">
        <v>2115</v>
      </c>
      <c r="C60" s="289"/>
      <c r="D60" s="289"/>
      <c r="E60" s="289"/>
      <c r="F60" s="289"/>
      <c r="G60" s="289"/>
      <c r="I60" s="3602">
        <f>SUM(I40:J45)+SUM(I49:J59)</f>
        <v>18857417.130689509</v>
      </c>
      <c r="J60" s="3603"/>
      <c r="K60" s="289"/>
      <c r="L60" s="361"/>
      <c r="M60" s="360"/>
      <c r="N60" s="360"/>
      <c r="O60" s="360"/>
      <c r="P60" s="360"/>
      <c r="Q60" s="359"/>
      <c r="S60" s="3498"/>
      <c r="T60" s="3499"/>
      <c r="Y60" s="1807"/>
      <c r="Z60" s="1773">
        <v>60</v>
      </c>
      <c r="AZ60" s="2780"/>
    </row>
    <row r="61" spans="1:52" s="265" customFormat="1" ht="14.25" customHeight="1" thickBot="1">
      <c r="A61" s="289"/>
      <c r="B61" s="2620" t="s">
        <v>2116</v>
      </c>
      <c r="C61" s="289"/>
      <c r="D61" s="289"/>
      <c r="E61" s="289"/>
      <c r="F61" s="289"/>
      <c r="G61" s="289"/>
      <c r="I61" s="3604">
        <f>'Part IV-A-Uses of Funds'!$G$146</f>
        <v>18857416.83068594</v>
      </c>
      <c r="J61" s="3605"/>
      <c r="K61" s="289"/>
      <c r="L61" s="361"/>
      <c r="M61" s="360"/>
      <c r="N61" s="360"/>
      <c r="O61" s="360"/>
      <c r="P61" s="360"/>
      <c r="Q61" s="359"/>
      <c r="S61" s="3498"/>
      <c r="T61" s="3499"/>
      <c r="Y61" s="1807"/>
      <c r="Z61" s="1773">
        <v>61</v>
      </c>
      <c r="AZ61" s="2780"/>
    </row>
    <row r="62" spans="1:52" s="265" customFormat="1" ht="14.25" customHeight="1" thickBot="1">
      <c r="A62" s="289"/>
      <c r="B62" s="2621" t="s">
        <v>1464</v>
      </c>
      <c r="C62" s="289"/>
      <c r="D62" s="289"/>
      <c r="E62" s="289"/>
      <c r="F62" s="289"/>
      <c r="G62" s="289"/>
      <c r="I62" s="3606">
        <f>I60-I61</f>
        <v>0.30000356957316399</v>
      </c>
      <c r="J62" s="3607"/>
      <c r="K62" s="289"/>
      <c r="L62" s="361"/>
      <c r="M62" s="360"/>
      <c r="N62" s="360"/>
      <c r="O62" s="360"/>
      <c r="P62" s="360"/>
      <c r="Q62" s="359"/>
      <c r="S62" s="3500"/>
      <c r="T62" s="3501"/>
      <c r="Y62" s="1807"/>
      <c r="Z62" s="1773">
        <v>62</v>
      </c>
      <c r="AZ62" s="2780"/>
    </row>
    <row r="63" spans="1:52" s="265" customFormat="1" ht="13.35" customHeight="1">
      <c r="A63" s="289" t="s">
        <v>4144</v>
      </c>
      <c r="B63" s="2621"/>
      <c r="C63" s="289"/>
      <c r="D63" s="289"/>
      <c r="E63" s="289"/>
      <c r="F63" s="289"/>
      <c r="G63" s="289"/>
      <c r="H63" s="354"/>
      <c r="I63" s="354"/>
      <c r="J63" s="307"/>
      <c r="K63" s="289"/>
      <c r="L63" s="361"/>
      <c r="M63" s="360"/>
      <c r="N63" s="360"/>
      <c r="O63" s="360"/>
      <c r="P63" s="360"/>
      <c r="Q63" s="359"/>
      <c r="R63" s="359"/>
      <c r="S63" s="359"/>
      <c r="T63" s="359"/>
      <c r="Y63" s="1807"/>
      <c r="Z63" s="1773">
        <v>63</v>
      </c>
      <c r="AZ63" s="2784"/>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5"/>
    </row>
    <row r="66" spans="1:52" ht="111.75" customHeight="1">
      <c r="A66" s="3596" t="s">
        <v>7007</v>
      </c>
      <c r="B66" s="3596"/>
      <c r="C66" s="3596"/>
      <c r="D66" s="3596"/>
      <c r="E66" s="3596"/>
      <c r="F66" s="3596"/>
      <c r="G66" s="3596"/>
      <c r="H66" s="3596"/>
      <c r="I66" s="3596"/>
      <c r="J66" s="3596"/>
      <c r="K66" s="3596"/>
      <c r="L66" s="3596"/>
      <c r="M66" s="3595"/>
      <c r="N66" s="3595"/>
      <c r="O66" s="3595"/>
      <c r="P66" s="3595"/>
      <c r="Q66" s="3595"/>
      <c r="S66" s="3594" t="s">
        <v>2542</v>
      </c>
      <c r="T66" s="3594"/>
      <c r="U66" s="446"/>
      <c r="V66" s="446"/>
      <c r="W66" s="446"/>
      <c r="Y66" s="2796"/>
      <c r="Z66" s="1773">
        <v>66</v>
      </c>
      <c r="AZ66" s="2795"/>
    </row>
    <row r="67" spans="1:52" ht="11.25" customHeight="1">
      <c r="S67" s="446"/>
      <c r="T67" s="446"/>
      <c r="U67" s="446"/>
      <c r="V67" s="446"/>
      <c r="W67" s="446"/>
      <c r="Y67" s="2796"/>
    </row>
    <row r="68" spans="1:52" ht="12" customHeight="1"/>
    <row r="69" spans="1:52" ht="12" customHeight="1">
      <c r="B69" s="334"/>
    </row>
    <row r="70" spans="1:52" ht="14.45" customHeight="1">
      <c r="AZ70" s="2780"/>
    </row>
    <row r="71" spans="1:52" s="265" customFormat="1" ht="14.45" customHeight="1">
      <c r="Y71" s="1807"/>
      <c r="Z71" s="1807"/>
      <c r="AZ71" s="2780"/>
    </row>
    <row r="72" spans="1:52" s="265" customFormat="1" ht="14.45" customHeight="1">
      <c r="Y72" s="1807"/>
      <c r="Z72" s="1807"/>
      <c r="AZ72" s="2780"/>
    </row>
    <row r="73" spans="1:52" s="265" customFormat="1" ht="14.45" customHeight="1">
      <c r="Y73" s="1807"/>
      <c r="Z73" s="1807"/>
      <c r="AZ73" s="2784"/>
    </row>
    <row r="74" spans="1:52" ht="14.45" customHeight="1">
      <c r="AZ74" s="2780"/>
    </row>
    <row r="75" spans="1:52" s="265" customFormat="1" ht="14.45" customHeight="1">
      <c r="A75" s="335"/>
      <c r="Y75" s="1807"/>
      <c r="Z75" s="1807"/>
      <c r="AZ75" s="2780"/>
    </row>
    <row r="76" spans="1:52" s="265" customFormat="1" ht="14.45" customHeight="1">
      <c r="A76" s="335"/>
      <c r="Y76" s="1807"/>
      <c r="Z76" s="1807"/>
      <c r="AZ76" s="2780"/>
    </row>
    <row r="77" spans="1:52" s="265" customFormat="1" ht="14.45" customHeight="1">
      <c r="Y77" s="1807"/>
      <c r="Z77" s="1807"/>
      <c r="AZ77" s="2780"/>
    </row>
    <row r="78" spans="1:52" s="265" customFormat="1" ht="14.45" customHeight="1">
      <c r="A78" s="335"/>
      <c r="Y78" s="1807"/>
      <c r="Z78" s="1807"/>
      <c r="AZ78" s="2780"/>
    </row>
    <row r="79" spans="1:52" s="265" customFormat="1" ht="14.45" customHeight="1">
      <c r="A79" s="333"/>
      <c r="Y79" s="1807"/>
      <c r="Z79" s="1807"/>
      <c r="AZ79" s="2780"/>
    </row>
    <row r="80" spans="1:52" s="265" customFormat="1" ht="14.45" customHeight="1">
      <c r="A80" s="333"/>
      <c r="Y80" s="1807"/>
      <c r="Z80" s="1807"/>
      <c r="AZ80" s="2780"/>
    </row>
    <row r="81" spans="1:52" s="265" customFormat="1" ht="14.45" customHeight="1">
      <c r="A81" s="336"/>
      <c r="Y81" s="1807"/>
      <c r="Z81" s="1807"/>
      <c r="AZ81" s="2780"/>
    </row>
    <row r="82" spans="1:52" s="265" customFormat="1" ht="14.45" customHeight="1">
      <c r="A82" s="335"/>
      <c r="Y82" s="1807"/>
      <c r="Z82" s="1807"/>
      <c r="AZ82" s="2780"/>
    </row>
    <row r="83" spans="1:52" s="265" customFormat="1" ht="14.45" customHeight="1">
      <c r="A83" s="333"/>
      <c r="Y83" s="1807"/>
      <c r="Z83" s="1807"/>
      <c r="AZ83" s="2780"/>
    </row>
    <row r="84" spans="1:52" s="265" customFormat="1" ht="14.45" customHeight="1">
      <c r="A84" s="333"/>
      <c r="Y84" s="1807"/>
      <c r="Z84" s="1807"/>
      <c r="AZ84" s="2780"/>
    </row>
    <row r="85" spans="1:52" s="265" customFormat="1" ht="14.45" customHeight="1">
      <c r="A85" s="336"/>
      <c r="Y85" s="1807"/>
      <c r="Z85" s="1807"/>
      <c r="AZ85" s="2780"/>
    </row>
    <row r="86" spans="1:52" s="265" customFormat="1" ht="14.45" customHeight="1">
      <c r="A86" s="335"/>
      <c r="Y86" s="1807"/>
      <c r="Z86" s="1807"/>
      <c r="AZ86" s="2780"/>
    </row>
    <row r="87" spans="1:52" s="265" customFormat="1" ht="14.45" customHeight="1">
      <c r="A87" s="333"/>
      <c r="Y87" s="1807"/>
      <c r="Z87" s="1807"/>
      <c r="AZ87" s="2780"/>
    </row>
    <row r="88" spans="1:52" s="265" customFormat="1" ht="14.45" customHeight="1">
      <c r="A88" s="333"/>
      <c r="Y88" s="1807"/>
      <c r="Z88" s="1807"/>
      <c r="AZ88" s="2780"/>
    </row>
    <row r="89" spans="1:52" s="265" customFormat="1" ht="14.45" customHeight="1">
      <c r="A89" s="336"/>
      <c r="Y89" s="1807"/>
      <c r="Z89" s="1807"/>
      <c r="AZ89" s="2780"/>
    </row>
    <row r="90" spans="1:52" s="265" customFormat="1" ht="14.45" customHeight="1">
      <c r="A90" s="336"/>
      <c r="Y90" s="1807"/>
      <c r="Z90" s="1807"/>
      <c r="AZ90" s="2780"/>
    </row>
    <row r="91" spans="1:52" s="265" customFormat="1" ht="14.45" customHeight="1">
      <c r="A91" s="336"/>
      <c r="Y91" s="1807"/>
      <c r="Z91" s="1807"/>
      <c r="AZ91" s="2780"/>
    </row>
    <row r="92" spans="1:52" s="265" customFormat="1" ht="14.45" customHeight="1">
      <c r="A92" s="336"/>
      <c r="Y92" s="1807"/>
      <c r="Z92" s="1807"/>
      <c r="AZ92" s="2780"/>
    </row>
    <row r="93" spans="1:52" s="265" customFormat="1" ht="14.45" customHeight="1">
      <c r="Y93" s="1807"/>
      <c r="Z93" s="1807"/>
      <c r="AZ93" s="2780"/>
    </row>
    <row r="94" spans="1:52" s="265" customFormat="1" ht="14.45" customHeight="1">
      <c r="Y94" s="1807"/>
      <c r="Z94" s="1807"/>
      <c r="AZ94" s="278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PrakPY2fZk6Ro21CQr72kFSXVHk+vANZgIbJUA+G4fY3iRlt96v59okYlA+Udf9NXQKKBiAuh9tV0xhqQqfawA==" saltValue="pF7SKcczTkfZ2yOd0Rfam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20" zoomScaleNormal="120"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2021-018 Roswell Redevelopment Phase I, Roswell, Fulton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2021-018 Roswell Redevelopment Phase I, Roswell, Fulton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
May 10 Rev</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21">
        <v>8500</v>
      </c>
      <c r="H9" s="3522"/>
      <c r="J9" s="3521">
        <f>G9</f>
        <v>8500</v>
      </c>
      <c r="K9" s="3522"/>
      <c r="L9" s="2644"/>
      <c r="M9" s="3521"/>
      <c r="N9" s="3522"/>
      <c r="P9" s="3521"/>
      <c r="Q9" s="3522"/>
      <c r="S9" s="3521"/>
      <c r="T9" s="3522"/>
      <c r="V9" s="2797"/>
      <c r="W9" s="3632"/>
      <c r="X9" s="3633"/>
      <c r="AZ9" s="1808"/>
      <c r="BA9" s="1773">
        <v>9</v>
      </c>
    </row>
    <row r="10" spans="1:53" s="289" customFormat="1" ht="11.25" customHeight="1">
      <c r="B10" s="289" t="s">
        <v>437</v>
      </c>
      <c r="G10" s="3532">
        <v>8500</v>
      </c>
      <c r="H10" s="3533"/>
      <c r="J10" s="3532">
        <f>G10</f>
        <v>8500</v>
      </c>
      <c r="K10" s="3533"/>
      <c r="L10" s="2644"/>
      <c r="M10" s="3532"/>
      <c r="N10" s="3533"/>
      <c r="P10" s="3532"/>
      <c r="Q10" s="3533"/>
      <c r="S10" s="3532"/>
      <c r="T10" s="3533"/>
      <c r="V10" s="2797"/>
      <c r="W10" s="3632"/>
      <c r="X10" s="3633"/>
      <c r="AZ10" s="1808"/>
      <c r="BA10" s="1773">
        <v>10</v>
      </c>
    </row>
    <row r="11" spans="1:53" s="289" customFormat="1" ht="11.25" customHeight="1">
      <c r="B11" s="289" t="s">
        <v>466</v>
      </c>
      <c r="G11" s="3532">
        <v>32500</v>
      </c>
      <c r="H11" s="3533"/>
      <c r="J11" s="3532">
        <f t="shared" ref="J11:J17" si="0">G11</f>
        <v>32500</v>
      </c>
      <c r="K11" s="3533"/>
      <c r="L11" s="2644"/>
      <c r="M11" s="3532"/>
      <c r="N11" s="3533"/>
      <c r="P11" s="3532"/>
      <c r="Q11" s="3533"/>
      <c r="S11" s="3532"/>
      <c r="T11" s="3533"/>
      <c r="V11" s="2797"/>
      <c r="W11" s="3632"/>
      <c r="X11" s="3633"/>
      <c r="AZ11" s="1808"/>
      <c r="BA11" s="1773">
        <v>11</v>
      </c>
    </row>
    <row r="12" spans="1:53" s="289" customFormat="1" ht="11.25" customHeight="1">
      <c r="B12" s="289" t="s">
        <v>467</v>
      </c>
      <c r="G12" s="3532">
        <v>15000</v>
      </c>
      <c r="H12" s="3533"/>
      <c r="J12" s="3532">
        <f t="shared" si="0"/>
        <v>15000</v>
      </c>
      <c r="K12" s="3533"/>
      <c r="L12" s="2644"/>
      <c r="M12" s="3532"/>
      <c r="N12" s="3533"/>
      <c r="P12" s="3532"/>
      <c r="Q12" s="3533"/>
      <c r="S12" s="3532"/>
      <c r="T12" s="3533"/>
      <c r="V12" s="2797"/>
      <c r="W12" s="3632"/>
      <c r="X12" s="3633"/>
      <c r="AZ12" s="1808"/>
      <c r="BA12" s="1773">
        <v>12</v>
      </c>
    </row>
    <row r="13" spans="1:53" s="289" customFormat="1" ht="11.25" customHeight="1">
      <c r="B13" s="289" t="s">
        <v>2385</v>
      </c>
      <c r="G13" s="3532">
        <v>20000</v>
      </c>
      <c r="H13" s="3533"/>
      <c r="J13" s="3532">
        <f t="shared" si="0"/>
        <v>20000</v>
      </c>
      <c r="K13" s="3533"/>
      <c r="L13" s="2644"/>
      <c r="M13" s="3532"/>
      <c r="N13" s="3533"/>
      <c r="P13" s="3532"/>
      <c r="Q13" s="3533"/>
      <c r="S13" s="3532"/>
      <c r="T13" s="3533"/>
      <c r="V13" s="2797"/>
      <c r="W13" s="3632"/>
      <c r="X13" s="3633"/>
      <c r="AZ13" s="1808"/>
      <c r="BA13" s="1773">
        <v>13</v>
      </c>
    </row>
    <row r="14" spans="1:53" s="289" customFormat="1" ht="11.25" customHeight="1">
      <c r="B14" s="289" t="s">
        <v>182</v>
      </c>
      <c r="G14" s="3532"/>
      <c r="H14" s="3533"/>
      <c r="J14" s="3532">
        <f t="shared" si="0"/>
        <v>0</v>
      </c>
      <c r="K14" s="3533"/>
      <c r="L14" s="2644"/>
      <c r="M14" s="3532"/>
      <c r="N14" s="3533"/>
      <c r="P14" s="3532"/>
      <c r="Q14" s="3533"/>
      <c r="S14" s="3532"/>
      <c r="T14" s="3533"/>
      <c r="V14" s="2797"/>
      <c r="W14" s="3632"/>
      <c r="X14" s="3633"/>
      <c r="AZ14" s="1808"/>
      <c r="BA14" s="1773">
        <v>14</v>
      </c>
    </row>
    <row r="15" spans="1:53" s="289" customFormat="1" ht="11.25" customHeight="1">
      <c r="A15" s="363" t="str">
        <f>IF(AND(G15&gt;0,OR(C15="",C15="&lt;Enter detailed description here; use Comments section if needed&gt;")),"X","")</f>
        <v/>
      </c>
      <c r="B15" s="170" t="s">
        <v>6575</v>
      </c>
      <c r="C15" s="3668" t="s">
        <v>3342</v>
      </c>
      <c r="D15" s="3668"/>
      <c r="E15" s="3668"/>
      <c r="F15" s="3669"/>
      <c r="G15" s="3532"/>
      <c r="H15" s="3533"/>
      <c r="J15" s="3532">
        <f t="shared" si="0"/>
        <v>0</v>
      </c>
      <c r="K15" s="3533"/>
      <c r="L15" s="2644"/>
      <c r="M15" s="3532"/>
      <c r="N15" s="3533"/>
      <c r="P15" s="3532"/>
      <c r="Q15" s="3533"/>
      <c r="S15" s="3532"/>
      <c r="T15" s="3533"/>
      <c r="U15" s="362" t="str">
        <f>IF(AND(G15&gt;0,OR(C15="",C15="&lt;Enter detailed description here; use Comments section if needed&gt;")),"NO DESCRIPTION PROVIDED - please enter detailed description in Other box at left; use Comments section below if needed.","")</f>
        <v/>
      </c>
      <c r="V15" s="2798"/>
      <c r="W15" s="3632"/>
      <c r="X15" s="3633"/>
      <c r="AZ15" s="1808" t="s">
        <v>6676</v>
      </c>
      <c r="BA15" s="1773">
        <v>15</v>
      </c>
    </row>
    <row r="16" spans="1:53" s="289" customFormat="1" ht="11.25" customHeight="1">
      <c r="A16" s="363" t="str">
        <f>IF(AND(G16&gt;0,OR(C16="",C16="&lt;Enter detailed description here; use Comments section if needed&gt;")),"X","")</f>
        <v/>
      </c>
      <c r="B16" s="170" t="s">
        <v>6576</v>
      </c>
      <c r="C16" s="3668" t="s">
        <v>3342</v>
      </c>
      <c r="D16" s="3668"/>
      <c r="E16" s="3668"/>
      <c r="F16" s="3669"/>
      <c r="G16" s="3532"/>
      <c r="H16" s="3533"/>
      <c r="J16" s="3532">
        <f t="shared" si="0"/>
        <v>0</v>
      </c>
      <c r="K16" s="3533"/>
      <c r="L16" s="2644"/>
      <c r="M16" s="3532"/>
      <c r="N16" s="3533"/>
      <c r="P16" s="3532"/>
      <c r="Q16" s="3533"/>
      <c r="S16" s="3532"/>
      <c r="T16" s="3533"/>
      <c r="U16" s="362" t="str">
        <f>IF(AND(G16&gt;0,OR(C16="",C16="&lt;Enter detailed description here; use Comments section if needed&gt;")),"NO DESCRIPTION PROVIDED - please enter detailed description in Other box at left; use Comments section below if needed.","")</f>
        <v/>
      </c>
      <c r="V16" s="2798"/>
      <c r="W16" s="3632"/>
      <c r="X16" s="3633"/>
      <c r="AZ16" s="1808" t="s">
        <v>6677</v>
      </c>
      <c r="BA16" s="1773">
        <v>16</v>
      </c>
    </row>
    <row r="17" spans="1:53" s="289" customFormat="1" ht="11.25" customHeight="1" thickBot="1">
      <c r="A17" s="363" t="str">
        <f>IF(AND(G17&gt;0,OR(C17="",C17="&lt;Enter detailed description here; use Comments section if needed&gt;")),"X","")</f>
        <v/>
      </c>
      <c r="B17" s="170" t="s">
        <v>6577</v>
      </c>
      <c r="C17" s="3668" t="s">
        <v>3342</v>
      </c>
      <c r="D17" s="3668"/>
      <c r="E17" s="3668"/>
      <c r="F17" s="3669"/>
      <c r="G17" s="3626"/>
      <c r="H17" s="3627"/>
      <c r="J17" s="3532">
        <f t="shared" si="0"/>
        <v>0</v>
      </c>
      <c r="K17" s="3533"/>
      <c r="L17" s="2644"/>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798"/>
      <c r="W17" s="3620"/>
      <c r="X17" s="3621"/>
      <c r="AZ17" s="1808" t="s">
        <v>6678</v>
      </c>
      <c r="BA17" s="1773">
        <v>17</v>
      </c>
    </row>
    <row r="18" spans="1:53" s="289" customFormat="1" ht="12.6" customHeight="1" thickTop="1">
      <c r="F18" s="338" t="s">
        <v>183</v>
      </c>
      <c r="G18" s="3658">
        <f>SUM(G9:G17)</f>
        <v>84500</v>
      </c>
      <c r="H18" s="3659"/>
      <c r="J18" s="3658">
        <f>SUM(J9:J17)</f>
        <v>84500</v>
      </c>
      <c r="K18" s="3659"/>
      <c r="L18" s="2644"/>
      <c r="M18" s="3658">
        <f>SUM(M9:M17)</f>
        <v>0</v>
      </c>
      <c r="N18" s="3659"/>
      <c r="P18" s="3658">
        <f>SUM(P9:P17)</f>
        <v>0</v>
      </c>
      <c r="Q18" s="3659"/>
      <c r="S18" s="3658">
        <f>SUM(S9:S17)</f>
        <v>0</v>
      </c>
      <c r="T18" s="3659"/>
      <c r="V18" s="2799">
        <f>SUM(V9:V17)</f>
        <v>0</v>
      </c>
      <c r="W18" s="3634"/>
      <c r="X18" s="3635"/>
      <c r="AZ18" s="1808" t="s">
        <v>6679</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184984.81728386445</v>
      </c>
      <c r="G20" s="3521">
        <v>530000</v>
      </c>
      <c r="H20" s="3522"/>
      <c r="J20" s="340"/>
      <c r="K20" s="337"/>
      <c r="L20" s="340"/>
      <c r="M20" s="340"/>
      <c r="N20" s="337"/>
      <c r="P20" s="340"/>
      <c r="Q20" s="337"/>
      <c r="S20" s="3521">
        <f>G20</f>
        <v>530000</v>
      </c>
      <c r="T20" s="3522"/>
      <c r="V20" s="2797"/>
      <c r="W20" s="3632"/>
      <c r="X20" s="3633"/>
      <c r="AZ20" s="1808"/>
      <c r="BA20" s="1773">
        <v>20</v>
      </c>
    </row>
    <row r="21" spans="1:53" s="289" customFormat="1" ht="11.25" customHeight="1">
      <c r="B21" s="289" t="s">
        <v>1079</v>
      </c>
      <c r="G21" s="3532"/>
      <c r="H21" s="3533"/>
      <c r="J21" s="340"/>
      <c r="K21" s="337"/>
      <c r="L21" s="340"/>
      <c r="M21" s="340"/>
      <c r="N21" s="337"/>
      <c r="P21" s="340"/>
      <c r="Q21" s="337"/>
      <c r="S21" s="3532"/>
      <c r="T21" s="3533"/>
      <c r="V21" s="2797"/>
      <c r="W21" s="3632"/>
      <c r="X21" s="3633"/>
      <c r="AZ21" s="1808"/>
      <c r="BA21" s="1773">
        <v>21</v>
      </c>
    </row>
    <row r="22" spans="1:53" s="289" customFormat="1" ht="11.25" customHeight="1">
      <c r="B22" s="289" t="s">
        <v>438</v>
      </c>
      <c r="G22" s="3532"/>
      <c r="H22" s="3533"/>
      <c r="J22" s="340"/>
      <c r="K22" s="337"/>
      <c r="L22" s="340"/>
      <c r="M22" s="3521"/>
      <c r="N22" s="3522"/>
      <c r="P22" s="340"/>
      <c r="Q22" s="337"/>
      <c r="S22" s="3532"/>
      <c r="T22" s="3533"/>
      <c r="V22" s="2797"/>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7"/>
      <c r="W23" s="3620"/>
      <c r="X23" s="3621"/>
      <c r="AZ23" s="1808"/>
      <c r="BA23" s="1773">
        <v>23</v>
      </c>
    </row>
    <row r="24" spans="1:53" s="289" customFormat="1" ht="12.6" customHeight="1" thickTop="1">
      <c r="F24" s="338" t="s">
        <v>183</v>
      </c>
      <c r="G24" s="3658">
        <f>SUM(G20:G23)</f>
        <v>530000</v>
      </c>
      <c r="H24" s="3659"/>
      <c r="J24" s="340"/>
      <c r="K24" s="337"/>
      <c r="L24" s="340"/>
      <c r="M24" s="3658">
        <f>SUM(M22:M23)</f>
        <v>0</v>
      </c>
      <c r="N24" s="3659"/>
      <c r="P24" s="340"/>
      <c r="Q24" s="337"/>
      <c r="S24" s="3658">
        <f>SUM(S20:S23)</f>
        <v>530000</v>
      </c>
      <c r="T24" s="3659"/>
      <c r="V24" s="2799">
        <f>SUM(V20:V23)</f>
        <v>0</v>
      </c>
      <c r="W24" s="3634"/>
      <c r="X24" s="3635"/>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349027.95713936689</v>
      </c>
      <c r="G26" s="3521">
        <v>1000000</v>
      </c>
      <c r="H26" s="3522"/>
      <c r="J26" s="3521">
        <v>500000</v>
      </c>
      <c r="K26" s="3522"/>
      <c r="L26" s="2644"/>
      <c r="M26" s="3670"/>
      <c r="N26" s="3671"/>
      <c r="P26" s="3670"/>
      <c r="Q26" s="3671"/>
      <c r="S26" s="3521">
        <v>500000</v>
      </c>
      <c r="T26" s="3522"/>
      <c r="V26" s="2797"/>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7"/>
      <c r="W27" s="3620"/>
      <c r="X27" s="3621"/>
      <c r="AZ27" s="1808"/>
      <c r="BA27" s="1773">
        <v>27</v>
      </c>
    </row>
    <row r="28" spans="1:53" s="289" customFormat="1" ht="12.6" customHeight="1" thickTop="1">
      <c r="F28" s="338" t="s">
        <v>183</v>
      </c>
      <c r="G28" s="3658">
        <f>SUM(G26:G27)</f>
        <v>1000000</v>
      </c>
      <c r="H28" s="3659"/>
      <c r="J28" s="3658">
        <f>SUM(J26:J27)</f>
        <v>500000</v>
      </c>
      <c r="K28" s="3659"/>
      <c r="L28" s="340"/>
      <c r="M28" s="3658">
        <f>M26</f>
        <v>0</v>
      </c>
      <c r="N28" s="3659"/>
      <c r="P28" s="3658">
        <f>P26</f>
        <v>0</v>
      </c>
      <c r="Q28" s="3659"/>
      <c r="S28" s="3658">
        <f>SUM(S26:S27)</f>
        <v>500000</v>
      </c>
      <c r="T28" s="3659"/>
      <c r="V28" s="2799">
        <f>SUM(V26:V27)</f>
        <v>0</v>
      </c>
      <c r="W28" s="3634"/>
      <c r="X28" s="3635"/>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21">
        <v>9954500</v>
      </c>
      <c r="H30" s="3522"/>
      <c r="J30" s="3521">
        <f>G30-S30</f>
        <v>9804500</v>
      </c>
      <c r="K30" s="3522"/>
      <c r="L30" s="2644"/>
      <c r="M30" s="3521"/>
      <c r="N30" s="3522"/>
      <c r="P30" s="3521"/>
      <c r="Q30" s="3522"/>
      <c r="S30" s="3521">
        <v>150000</v>
      </c>
      <c r="T30" s="3522"/>
      <c r="V30" s="2797"/>
      <c r="W30" s="3632"/>
      <c r="X30" s="3633"/>
      <c r="AZ30" s="1808"/>
      <c r="BA30" s="1773">
        <v>30</v>
      </c>
    </row>
    <row r="31" spans="1:53" s="289" customFormat="1" ht="11.25" customHeight="1">
      <c r="B31" s="289" t="s">
        <v>1085</v>
      </c>
      <c r="G31" s="3532"/>
      <c r="H31" s="3533"/>
      <c r="J31" s="3532"/>
      <c r="K31" s="3533"/>
      <c r="L31" s="2644"/>
      <c r="M31" s="3532"/>
      <c r="N31" s="3533"/>
      <c r="P31" s="3532"/>
      <c r="Q31" s="3533"/>
      <c r="S31" s="3532"/>
      <c r="T31" s="3533"/>
      <c r="V31" s="2797"/>
      <c r="W31" s="3632"/>
      <c r="X31" s="3633"/>
      <c r="AZ31" s="1808"/>
      <c r="BA31" s="1773">
        <v>31</v>
      </c>
    </row>
    <row r="32" spans="1:53" s="289" customFormat="1" ht="11.25" customHeight="1">
      <c r="B32" s="289" t="s">
        <v>6299</v>
      </c>
      <c r="G32" s="3532"/>
      <c r="H32" s="3533"/>
      <c r="J32" s="3532"/>
      <c r="K32" s="3533"/>
      <c r="L32" s="2644"/>
      <c r="M32" s="3532"/>
      <c r="N32" s="3533"/>
      <c r="P32" s="3532"/>
      <c r="Q32" s="3533"/>
      <c r="S32" s="3532"/>
      <c r="T32" s="3533"/>
      <c r="V32" s="2797"/>
      <c r="W32" s="3632"/>
      <c r="X32" s="3633"/>
      <c r="AZ32" s="1808"/>
      <c r="BA32" s="1773">
        <v>32</v>
      </c>
    </row>
    <row r="33" spans="1:53" s="289" customFormat="1" ht="11.25" customHeight="1">
      <c r="B33" s="289" t="s">
        <v>6297</v>
      </c>
      <c r="G33" s="3532"/>
      <c r="H33" s="3533"/>
      <c r="J33" s="3532"/>
      <c r="K33" s="3533"/>
      <c r="L33" s="2644"/>
      <c r="M33" s="3532"/>
      <c r="N33" s="3533"/>
      <c r="P33" s="3532"/>
      <c r="Q33" s="3533"/>
      <c r="S33" s="3532"/>
      <c r="T33" s="3533"/>
      <c r="V33" s="2797"/>
      <c r="W33" s="3632"/>
      <c r="X33" s="3633"/>
      <c r="AZ33" s="1808"/>
      <c r="BA33" s="1773">
        <v>33</v>
      </c>
    </row>
    <row r="34" spans="1:53" ht="11.25" customHeight="1">
      <c r="B34" s="289" t="s">
        <v>2604</v>
      </c>
      <c r="G34" s="3532"/>
      <c r="H34" s="3533"/>
      <c r="I34" s="289"/>
      <c r="J34" s="3532"/>
      <c r="K34" s="3533"/>
      <c r="L34" s="2644"/>
      <c r="M34" s="3532"/>
      <c r="N34" s="3533"/>
      <c r="O34" s="289"/>
      <c r="P34" s="3532"/>
      <c r="Q34" s="3533"/>
      <c r="R34" s="289"/>
      <c r="S34" s="3532"/>
      <c r="T34" s="3533"/>
      <c r="V34" s="2797"/>
      <c r="W34" s="3620"/>
      <c r="X34" s="3621"/>
      <c r="BA34" s="1773">
        <v>34</v>
      </c>
    </row>
    <row r="35" spans="1:53" ht="11.25" customHeight="1" thickBot="1">
      <c r="B35" s="289" t="s">
        <v>6298</v>
      </c>
      <c r="G35" s="3673"/>
      <c r="H35" s="3674"/>
      <c r="I35" s="289"/>
      <c r="J35" s="3673"/>
      <c r="K35" s="3674"/>
      <c r="L35" s="2644"/>
      <c r="M35" s="3673"/>
      <c r="N35" s="3674"/>
      <c r="O35" s="289"/>
      <c r="P35" s="3673"/>
      <c r="Q35" s="3674"/>
      <c r="R35" s="289"/>
      <c r="S35" s="3673"/>
      <c r="T35" s="3674"/>
      <c r="V35" s="2797"/>
      <c r="W35" s="3620"/>
      <c r="X35" s="3621"/>
      <c r="BA35" s="1773">
        <v>35</v>
      </c>
    </row>
    <row r="36" spans="1:53" s="289" customFormat="1" ht="12.6" customHeight="1" thickTop="1">
      <c r="C36" s="3676"/>
      <c r="D36" s="3676"/>
      <c r="E36" s="2640"/>
      <c r="F36" s="338" t="s">
        <v>183</v>
      </c>
      <c r="G36" s="3658">
        <f>SUM(G30:G35)</f>
        <v>9954500</v>
      </c>
      <c r="H36" s="3659"/>
      <c r="J36" s="3658">
        <f>SUM(J30:J35)</f>
        <v>9804500</v>
      </c>
      <c r="K36" s="3659"/>
      <c r="L36" s="2644"/>
      <c r="M36" s="3658">
        <f>SUM(M30:M35)</f>
        <v>0</v>
      </c>
      <c r="N36" s="3659"/>
      <c r="P36" s="3658">
        <f>SUM(P30:P35)</f>
        <v>0</v>
      </c>
      <c r="Q36" s="3659"/>
      <c r="S36" s="3658">
        <f>SUM(S30:S35)</f>
        <v>150000</v>
      </c>
      <c r="T36" s="3659"/>
      <c r="V36" s="2799">
        <f>SUM(V30:V35)</f>
        <v>0</v>
      </c>
      <c r="W36" s="3634"/>
      <c r="X36" s="3635"/>
      <c r="AZ36" s="1808" t="s">
        <v>6682</v>
      </c>
      <c r="BA36" s="1773">
        <v>36</v>
      </c>
    </row>
    <row r="37" spans="1:53" s="289" customFormat="1" ht="12" customHeight="1">
      <c r="B37" s="291" t="s">
        <v>2239</v>
      </c>
      <c r="D37" s="3675" t="s">
        <v>3356</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657270</v>
      </c>
      <c r="F38" s="852">
        <f>IF(($G$28+$G$36)=0,0,G38/($G$28+$G$36))</f>
        <v>0.06</v>
      </c>
      <c r="G38" s="3521">
        <v>657270</v>
      </c>
      <c r="H38" s="3522"/>
      <c r="I38" s="307"/>
      <c r="J38" s="3521">
        <f>+G38-S38</f>
        <v>648270</v>
      </c>
      <c r="K38" s="3522"/>
      <c r="L38" s="2644"/>
      <c r="M38" s="3521"/>
      <c r="N38" s="3522"/>
      <c r="P38" s="3521"/>
      <c r="Q38" s="3522"/>
      <c r="S38" s="3521">
        <f>+S30*0.06</f>
        <v>9000</v>
      </c>
      <c r="T38" s="3522"/>
      <c r="V38" s="2797"/>
      <c r="W38" s="3632"/>
      <c r="X38" s="3633"/>
      <c r="AZ38" s="1808"/>
      <c r="BA38" s="1773">
        <v>38</v>
      </c>
    </row>
    <row r="39" spans="1:53" s="289" customFormat="1" ht="11.25" customHeight="1">
      <c r="B39" s="289" t="s">
        <v>2574</v>
      </c>
      <c r="D39" s="854">
        <f>'DCA Underwriting Assumptions'!$R$79</f>
        <v>0.02</v>
      </c>
      <c r="E39" s="855">
        <f>D39*(G28+G36)</f>
        <v>219090</v>
      </c>
      <c r="F39" s="852">
        <f>IF(($G$28+$G$36)=0,0,G39/($G$28+$G$36))</f>
        <v>0.02</v>
      </c>
      <c r="G39" s="3532">
        <v>219090</v>
      </c>
      <c r="H39" s="3533"/>
      <c r="I39" s="307"/>
      <c r="J39" s="3521">
        <f t="shared" ref="J39:J40" si="1">+G39-S39</f>
        <v>216090</v>
      </c>
      <c r="K39" s="3522"/>
      <c r="L39" s="2644"/>
      <c r="M39" s="3532"/>
      <c r="N39" s="3533"/>
      <c r="P39" s="3532"/>
      <c r="Q39" s="3533"/>
      <c r="S39" s="3532">
        <f>+S30*0.02</f>
        <v>3000</v>
      </c>
      <c r="T39" s="3533"/>
      <c r="V39" s="2797"/>
      <c r="W39" s="3632"/>
      <c r="X39" s="3633"/>
      <c r="AZ39" s="1808"/>
      <c r="BA39" s="1773">
        <v>39</v>
      </c>
    </row>
    <row r="40" spans="1:53" s="289" customFormat="1" ht="11.25" customHeight="1" thickBot="1">
      <c r="B40" s="289" t="s">
        <v>2575</v>
      </c>
      <c r="D40" s="858">
        <f>'DCA Underwriting Assumptions'!$R$80</f>
        <v>0.06</v>
      </c>
      <c r="E40" s="859">
        <f>D40*(G28+G36)</f>
        <v>657270</v>
      </c>
      <c r="F40" s="1014">
        <f>IF(($G$28+$G$36)=0,0,G40/($G$28+$G$36))</f>
        <v>0.06</v>
      </c>
      <c r="G40" s="3626">
        <v>657270</v>
      </c>
      <c r="H40" s="3627"/>
      <c r="I40" s="307"/>
      <c r="J40" s="3521">
        <f t="shared" si="1"/>
        <v>648270</v>
      </c>
      <c r="K40" s="3522"/>
      <c r="L40" s="2644"/>
      <c r="M40" s="3626"/>
      <c r="N40" s="3627"/>
      <c r="P40" s="3626"/>
      <c r="Q40" s="3627"/>
      <c r="S40" s="3626">
        <f>+S30*0.06</f>
        <v>9000</v>
      </c>
      <c r="T40" s="3627"/>
      <c r="V40" s="2797"/>
      <c r="W40" s="3620"/>
      <c r="X40" s="3621"/>
      <c r="AZ40" s="1808"/>
      <c r="BA40" s="1773">
        <v>40</v>
      </c>
    </row>
    <row r="41" spans="1:53" s="289" customFormat="1" ht="12.6" customHeight="1" thickTop="1">
      <c r="B41" s="170" t="s">
        <v>3357</v>
      </c>
      <c r="D41" s="856">
        <f>SUM(D38:D40)</f>
        <v>0.14000000000000001</v>
      </c>
      <c r="E41" s="857">
        <f>SUM(E38:E40)</f>
        <v>1533630</v>
      </c>
      <c r="F41" s="839" t="s">
        <v>183</v>
      </c>
      <c r="G41" s="3658">
        <f>SUM(G38:G40)</f>
        <v>1533630</v>
      </c>
      <c r="H41" s="3659"/>
      <c r="J41" s="3658">
        <f>SUM(J38:J40)</f>
        <v>1512630</v>
      </c>
      <c r="K41" s="3659"/>
      <c r="L41" s="340"/>
      <c r="M41" s="3658">
        <f>SUM(M38:M40)</f>
        <v>0</v>
      </c>
      <c r="N41" s="3659"/>
      <c r="P41" s="3658">
        <f>SUM(P38:P40)</f>
        <v>0</v>
      </c>
      <c r="Q41" s="3659"/>
      <c r="S41" s="3658">
        <f>SUM(S38:S40)</f>
        <v>21000</v>
      </c>
      <c r="T41" s="3659"/>
      <c r="V41" s="2799">
        <f>SUM(V38:V40)</f>
        <v>0</v>
      </c>
      <c r="W41" s="3634"/>
      <c r="X41" s="3635"/>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6814</v>
      </c>
      <c r="D43" s="1779"/>
      <c r="E43" s="1727"/>
      <c r="F43" s="1727"/>
      <c r="G43" s="3751">
        <f>G28+G36+G41</f>
        <v>12488130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0"/>
      <c r="B44" s="2800"/>
      <c r="C44" s="2800"/>
      <c r="D44" s="2800"/>
      <c r="E44" s="2800"/>
      <c r="F44" s="2800"/>
      <c r="G44" s="2800"/>
      <c r="H44" s="2800"/>
      <c r="I44" s="2800"/>
      <c r="J44" s="2800"/>
      <c r="K44" s="2800"/>
      <c r="L44" s="2800"/>
      <c r="M44" s="2800"/>
      <c r="N44" s="2800"/>
      <c r="O44" s="2800"/>
      <c r="P44" s="2800"/>
      <c r="Q44" s="2800"/>
      <c r="R44" s="2800"/>
      <c r="S44" s="2800"/>
      <c r="T44" s="2800"/>
      <c r="AZ44" s="1809" t="s">
        <v>6684</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668" t="s">
        <v>3342</v>
      </c>
      <c r="D46" s="3691"/>
      <c r="E46" s="3691"/>
      <c r="F46" s="3692"/>
      <c r="G46" s="3640"/>
      <c r="H46" s="3641"/>
      <c r="I46" s="289"/>
      <c r="J46" s="3640"/>
      <c r="K46" s="3641"/>
      <c r="L46" s="2644"/>
      <c r="M46" s="3640"/>
      <c r="N46" s="3641"/>
      <c r="O46" s="289"/>
      <c r="P46" s="3640"/>
      <c r="Q46" s="3641"/>
      <c r="R46" s="289"/>
      <c r="S46" s="3640"/>
      <c r="T46" s="3641"/>
      <c r="V46" s="2797"/>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6685</v>
      </c>
      <c r="BA47" s="1773">
        <v>47</v>
      </c>
    </row>
    <row r="48" spans="1:53" s="289" customFormat="1" ht="12.6" customHeight="1">
      <c r="B48" s="1740" t="s">
        <v>2580</v>
      </c>
      <c r="C48" s="1741"/>
      <c r="E48" s="3685" t="s">
        <v>2579</v>
      </c>
      <c r="F48" s="2642">
        <f>C49/'Part VI-Revenues &amp; Expenses'!$P$65</f>
        <v>131454</v>
      </c>
      <c r="G48" s="2643" t="s">
        <v>2598</v>
      </c>
      <c r="H48" s="1742"/>
      <c r="I48" s="1742"/>
      <c r="J48" s="3687">
        <f>C49/'Part VI-Revenues &amp; Expenses'!$P$67</f>
        <v>131454</v>
      </c>
      <c r="K48" s="3687"/>
      <c r="L48" s="1742"/>
      <c r="M48" s="3688" t="s">
        <v>6794</v>
      </c>
      <c r="N48" s="3688"/>
      <c r="O48" s="1742"/>
      <c r="P48" s="3687">
        <f>C49/'Part I-Project Information'!$P$70</f>
        <v>159.79692898272552</v>
      </c>
      <c r="Q48" s="3687"/>
      <c r="R48" s="1742"/>
      <c r="S48" s="3689" t="s">
        <v>6796</v>
      </c>
      <c r="T48" s="3690"/>
      <c r="V48" s="935"/>
      <c r="W48" s="3681"/>
      <c r="X48" s="3682"/>
      <c r="AZ48" s="1808"/>
      <c r="BA48" s="1773">
        <v>48</v>
      </c>
    </row>
    <row r="49" spans="1:53" s="289" customFormat="1" ht="12.6" customHeight="1">
      <c r="B49" s="1781" t="s">
        <v>6813</v>
      </c>
      <c r="C49" s="1780">
        <f>G28+G36+G41+G46</f>
        <v>12488130</v>
      </c>
      <c r="E49" s="3686"/>
      <c r="F49" s="2641">
        <f>C49/'Part VI-Revenues &amp; Expenses'!$P$166</f>
        <v>166.06555851063831</v>
      </c>
      <c r="G49" s="1743" t="s">
        <v>2599</v>
      </c>
      <c r="H49" s="1744"/>
      <c r="I49" s="1744"/>
      <c r="J49" s="3677">
        <f>C49/'Part VI-Revenues &amp; Expenses'!$P$168</f>
        <v>166.06555851063831</v>
      </c>
      <c r="K49" s="3677"/>
      <c r="L49" s="1744"/>
      <c r="M49" s="3678" t="s">
        <v>6795</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3562</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3561</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624406.5</v>
      </c>
      <c r="F55" s="1849">
        <f>G55/C49</f>
        <v>0.05</v>
      </c>
      <c r="G55" s="3640">
        <f>E55</f>
        <v>624406.5</v>
      </c>
      <c r="H55" s="3641"/>
      <c r="I55" s="289"/>
      <c r="J55" s="3640">
        <f>G55*0.85</f>
        <v>530745.52500000002</v>
      </c>
      <c r="K55" s="3641"/>
      <c r="L55" s="2644"/>
      <c r="M55" s="3640"/>
      <c r="N55" s="3641"/>
      <c r="O55" s="289"/>
      <c r="P55" s="3640"/>
      <c r="Q55" s="3641"/>
      <c r="R55" s="289"/>
      <c r="S55" s="3640">
        <f>G55-J55</f>
        <v>93660.974999999977</v>
      </c>
      <c r="T55" s="3641"/>
      <c r="V55" s="2797"/>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6607</v>
      </c>
      <c r="C57" s="1741"/>
      <c r="E57" s="3768" t="s">
        <v>6608</v>
      </c>
      <c r="F57" s="2642">
        <f>B58/'Part VI-Revenues &amp; Expenses'!$P$65</f>
        <v>138026.70000000001</v>
      </c>
      <c r="G57" s="2643" t="s">
        <v>2598</v>
      </c>
      <c r="H57" s="1742"/>
      <c r="I57" s="1742"/>
      <c r="J57" s="3687">
        <f>B58/'Part VI-Revenues &amp; Expenses'!$P$67</f>
        <v>138026.70000000001</v>
      </c>
      <c r="K57" s="3687"/>
      <c r="L57" s="1742"/>
      <c r="M57" s="3688" t="s">
        <v>6794</v>
      </c>
      <c r="N57" s="3688"/>
      <c r="O57" s="1742"/>
      <c r="P57" s="3687">
        <f>B58/'Part I-Project Information'!$P$70</f>
        <v>167.7867754318618</v>
      </c>
      <c r="Q57" s="3687"/>
      <c r="R57" s="1742"/>
      <c r="S57" s="3689" t="s">
        <v>6796</v>
      </c>
      <c r="T57" s="3690"/>
      <c r="V57" s="935"/>
      <c r="W57" s="3681"/>
      <c r="X57" s="3682"/>
      <c r="AZ57" s="1808"/>
      <c r="BA57" s="1773">
        <v>54</v>
      </c>
    </row>
    <row r="58" spans="1:53" s="289" customFormat="1" ht="12.6" customHeight="1">
      <c r="B58" s="3766">
        <f>C49+G55</f>
        <v>13112536.5</v>
      </c>
      <c r="C58" s="3767"/>
      <c r="E58" s="3769"/>
      <c r="F58" s="2641">
        <f>B58/'Part VI-Revenues &amp; Expenses'!$P$166</f>
        <v>174.3688364361702</v>
      </c>
      <c r="G58" s="1743" t="s">
        <v>2599</v>
      </c>
      <c r="H58" s="1744"/>
      <c r="I58" s="1744"/>
      <c r="J58" s="3677">
        <f>B58/'Part VI-Revenues &amp; Expenses'!$P$168</f>
        <v>174.3688364361702</v>
      </c>
      <c r="K58" s="3677"/>
      <c r="L58" s="1744"/>
      <c r="M58" s="3678" t="s">
        <v>6795</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21"/>
      <c r="H61" s="3522"/>
      <c r="J61" s="3521"/>
      <c r="K61" s="3522"/>
      <c r="L61" s="2644"/>
      <c r="M61" s="3521"/>
      <c r="N61" s="3522"/>
      <c r="P61" s="3521"/>
      <c r="Q61" s="3522"/>
      <c r="S61" s="3521"/>
      <c r="T61" s="3522"/>
      <c r="V61" s="2801"/>
      <c r="W61" s="3632"/>
      <c r="X61" s="3633"/>
      <c r="AZ61" s="1808"/>
      <c r="BA61" s="1773">
        <v>61</v>
      </c>
    </row>
    <row r="62" spans="1:53" s="289" customFormat="1" ht="12" customHeight="1">
      <c r="B62" s="289" t="s">
        <v>3359</v>
      </c>
      <c r="G62" s="3532"/>
      <c r="H62" s="3533"/>
      <c r="J62" s="3532"/>
      <c r="K62" s="3533"/>
      <c r="L62" s="2644"/>
      <c r="M62" s="3532"/>
      <c r="N62" s="3533"/>
      <c r="P62" s="3532"/>
      <c r="Q62" s="3533"/>
      <c r="S62" s="3532"/>
      <c r="T62" s="3533"/>
      <c r="V62" s="2801"/>
      <c r="W62" s="3632"/>
      <c r="X62" s="3633"/>
      <c r="AZ62" s="1808"/>
      <c r="BA62" s="1773">
        <v>62</v>
      </c>
    </row>
    <row r="63" spans="1:53" s="289" customFormat="1" ht="12" customHeight="1">
      <c r="B63" s="289" t="s">
        <v>2242</v>
      </c>
      <c r="G63" s="3532">
        <v>39831</v>
      </c>
      <c r="H63" s="3533"/>
      <c r="J63" s="3532">
        <f>G63</f>
        <v>39831</v>
      </c>
      <c r="K63" s="3533"/>
      <c r="L63" s="2644"/>
      <c r="M63" s="3532"/>
      <c r="N63" s="3533"/>
      <c r="P63" s="3532"/>
      <c r="Q63" s="3533"/>
      <c r="S63" s="3532"/>
      <c r="T63" s="3533"/>
      <c r="V63" s="2801"/>
      <c r="W63" s="3632"/>
      <c r="X63" s="3633"/>
      <c r="AZ63" s="1808"/>
      <c r="BA63" s="1773">
        <v>63</v>
      </c>
    </row>
    <row r="64" spans="1:53" s="289" customFormat="1" ht="12" customHeight="1">
      <c r="B64" s="289" t="s">
        <v>2243</v>
      </c>
      <c r="G64" s="3532">
        <v>119739.69999643603</v>
      </c>
      <c r="H64" s="3533"/>
      <c r="J64" s="3532">
        <f t="shared" ref="J64:J68" si="2">G64</f>
        <v>119739.69999643603</v>
      </c>
      <c r="K64" s="3533"/>
      <c r="L64" s="2644"/>
      <c r="M64" s="3532"/>
      <c r="N64" s="3533"/>
      <c r="P64" s="3532"/>
      <c r="Q64" s="3533"/>
      <c r="S64" s="3532"/>
      <c r="T64" s="3533"/>
      <c r="V64" s="2801"/>
      <c r="W64" s="3632"/>
      <c r="X64" s="3633"/>
      <c r="AZ64" s="1808"/>
      <c r="BA64" s="1773">
        <v>64</v>
      </c>
    </row>
    <row r="65" spans="1:53" s="289" customFormat="1" ht="12" customHeight="1">
      <c r="B65" s="289" t="s">
        <v>2244</v>
      </c>
      <c r="G65" s="3532">
        <v>60000</v>
      </c>
      <c r="H65" s="3533"/>
      <c r="J65" s="3532">
        <f t="shared" si="2"/>
        <v>60000</v>
      </c>
      <c r="K65" s="3533"/>
      <c r="L65" s="2644"/>
      <c r="M65" s="3532"/>
      <c r="N65" s="3533"/>
      <c r="P65" s="3532"/>
      <c r="Q65" s="3533"/>
      <c r="S65" s="3532"/>
      <c r="T65" s="3533"/>
      <c r="V65" s="2801"/>
      <c r="W65" s="3632"/>
      <c r="X65" s="3633"/>
      <c r="AZ65" s="1808" t="s">
        <v>6686</v>
      </c>
      <c r="BA65" s="1773">
        <v>65</v>
      </c>
    </row>
    <row r="66" spans="1:53" s="289" customFormat="1" ht="12" customHeight="1">
      <c r="B66" s="289" t="s">
        <v>2539</v>
      </c>
      <c r="G66" s="3532">
        <v>28800</v>
      </c>
      <c r="H66" s="3533"/>
      <c r="J66" s="3532">
        <f t="shared" si="2"/>
        <v>28800</v>
      </c>
      <c r="K66" s="3533"/>
      <c r="L66" s="2644"/>
      <c r="M66" s="3532"/>
      <c r="N66" s="3533"/>
      <c r="P66" s="3532"/>
      <c r="Q66" s="3533"/>
      <c r="S66" s="3532"/>
      <c r="T66" s="3533"/>
      <c r="V66" s="2801"/>
      <c r="W66" s="3632"/>
      <c r="X66" s="3633"/>
      <c r="AZ66" s="1808" t="s">
        <v>6687</v>
      </c>
      <c r="BA66" s="1773">
        <v>66</v>
      </c>
    </row>
    <row r="67" spans="1:53" s="289" customFormat="1" ht="12" customHeight="1">
      <c r="B67" s="289" t="s">
        <v>693</v>
      </c>
      <c r="G67" s="3532"/>
      <c r="H67" s="3533"/>
      <c r="J67" s="3532">
        <f t="shared" si="2"/>
        <v>0</v>
      </c>
      <c r="K67" s="3533"/>
      <c r="L67" s="2644"/>
      <c r="M67" s="3532"/>
      <c r="N67" s="3533"/>
      <c r="P67" s="3532"/>
      <c r="Q67" s="3533"/>
      <c r="S67" s="3532"/>
      <c r="T67" s="3533"/>
      <c r="V67" s="2801"/>
      <c r="W67" s="3632"/>
      <c r="X67" s="3633"/>
      <c r="AZ67" s="1808" t="s">
        <v>6688</v>
      </c>
      <c r="BA67" s="1773">
        <v>67</v>
      </c>
    </row>
    <row r="68" spans="1:53" s="289" customFormat="1" ht="12" customHeight="1">
      <c r="B68" s="289" t="s">
        <v>2245</v>
      </c>
      <c r="G68" s="3532">
        <v>30000</v>
      </c>
      <c r="H68" s="3533"/>
      <c r="J68" s="3532">
        <f t="shared" si="2"/>
        <v>30000</v>
      </c>
      <c r="K68" s="3533"/>
      <c r="L68" s="2644"/>
      <c r="M68" s="3532"/>
      <c r="N68" s="3533"/>
      <c r="P68" s="3532"/>
      <c r="Q68" s="3533"/>
      <c r="S68" s="3532"/>
      <c r="T68" s="3533"/>
      <c r="V68" s="2801"/>
      <c r="W68" s="3632"/>
      <c r="X68" s="3633"/>
      <c r="AZ68" s="1808"/>
      <c r="BA68" s="1773">
        <v>68</v>
      </c>
    </row>
    <row r="69" spans="1:53" s="289" customFormat="1" ht="12" customHeight="1">
      <c r="B69" s="289" t="s">
        <v>1228</v>
      </c>
      <c r="G69" s="3532">
        <v>48750</v>
      </c>
      <c r="H69" s="3533"/>
      <c r="J69" s="3532">
        <v>48750</v>
      </c>
      <c r="K69" s="3533"/>
      <c r="L69" s="2644"/>
      <c r="M69" s="3532"/>
      <c r="N69" s="3533"/>
      <c r="P69" s="3532"/>
      <c r="Q69" s="3533"/>
      <c r="S69" s="3532"/>
      <c r="T69" s="3533"/>
      <c r="V69" s="2801"/>
      <c r="W69" s="3632"/>
      <c r="X69" s="3633"/>
      <c r="AZ69" s="1808"/>
      <c r="BA69" s="1773">
        <v>69</v>
      </c>
    </row>
    <row r="70" spans="1:53" s="289" customFormat="1" ht="12" customHeight="1">
      <c r="B70" s="344" t="s">
        <v>1111</v>
      </c>
      <c r="D70" s="342"/>
      <c r="E70" s="342"/>
      <c r="F70" s="343"/>
      <c r="G70" s="3532">
        <v>54500</v>
      </c>
      <c r="H70" s="3533"/>
      <c r="I70" s="307"/>
      <c r="J70" s="3532">
        <f>G70</f>
        <v>54500</v>
      </c>
      <c r="K70" s="3533"/>
      <c r="L70" s="2644"/>
      <c r="M70" s="3532"/>
      <c r="N70" s="3533"/>
      <c r="P70" s="3532"/>
      <c r="Q70" s="3533"/>
      <c r="S70" s="3532"/>
      <c r="T70" s="3533"/>
      <c r="V70" s="2801"/>
      <c r="W70" s="3632"/>
      <c r="X70" s="3633"/>
      <c r="AZ70" s="1808"/>
      <c r="BA70" s="1773">
        <v>70</v>
      </c>
    </row>
    <row r="71" spans="1:53" s="289" customFormat="1" ht="12" customHeight="1">
      <c r="A71" s="363" t="str">
        <f>IF(AND(G71&gt;0,OR(C71="",C71="&lt;Enter detailed description here; use Comments section if needed&gt;")),"X","")</f>
        <v/>
      </c>
      <c r="B71" s="170" t="s">
        <v>6580</v>
      </c>
      <c r="C71" s="3695" t="s">
        <v>6960</v>
      </c>
      <c r="D71" s="3695"/>
      <c r="E71" s="3695"/>
      <c r="F71" s="3696"/>
      <c r="G71" s="3532">
        <v>15000</v>
      </c>
      <c r="H71" s="3533"/>
      <c r="J71" s="3532">
        <f>G71</f>
        <v>15000</v>
      </c>
      <c r="K71" s="3533"/>
      <c r="L71" s="2644"/>
      <c r="M71" s="3532"/>
      <c r="N71" s="3533"/>
      <c r="P71" s="3532"/>
      <c r="Q71" s="3533"/>
      <c r="S71" s="3532"/>
      <c r="T71" s="3533"/>
      <c r="U71" s="362" t="str">
        <f>IF(AND(G71&gt;0,OR(C71="",C71="&lt;Enter detailed description here; use Comments section if needed&gt;")),"NO DESCRIPTION PROVIDED - please enter detailed description in Other box at left; use Comments section below if needed.","")</f>
        <v/>
      </c>
      <c r="V71" s="2801"/>
      <c r="W71" s="3632"/>
      <c r="X71" s="3633"/>
      <c r="AZ71" s="1808"/>
      <c r="BA71" s="1773">
        <v>71</v>
      </c>
    </row>
    <row r="72" spans="1:53" s="289" customFormat="1" ht="12" customHeight="1" thickBot="1">
      <c r="A72" s="363" t="str">
        <f>IF(AND(G72&gt;0,OR(C72="",C72="&lt;Enter detailed description here; use Comments section if needed&gt;")),"X","")</f>
        <v/>
      </c>
      <c r="B72" s="170" t="s">
        <v>6581</v>
      </c>
      <c r="C72" s="3693" t="s">
        <v>3342</v>
      </c>
      <c r="D72" s="3693"/>
      <c r="E72" s="3693"/>
      <c r="F72" s="3694"/>
      <c r="G72" s="3488"/>
      <c r="H72" s="3489"/>
      <c r="J72" s="3488"/>
      <c r="K72" s="3489"/>
      <c r="L72" s="2644"/>
      <c r="M72" s="3488"/>
      <c r="N72" s="3489"/>
      <c r="P72" s="3488"/>
      <c r="Q72" s="3489"/>
      <c r="S72" s="3488"/>
      <c r="T72" s="3489"/>
      <c r="U72" s="362" t="str">
        <f>IF(AND(G72&gt;0,OR(C72="",C72="&lt;Enter detailed description here; use Comments section if needed&gt;")),"NO DESCRIPTION PROVIDED - please enter detailed description in Other box at left; use Comments section below if needed.","")</f>
        <v/>
      </c>
      <c r="V72" s="2801"/>
      <c r="W72" s="3620"/>
      <c r="X72" s="3621"/>
      <c r="AZ72" s="1808"/>
      <c r="BA72" s="1773">
        <v>72</v>
      </c>
    </row>
    <row r="73" spans="1:53" s="289" customFormat="1" ht="12" customHeight="1" thickTop="1">
      <c r="F73" s="338" t="s">
        <v>183</v>
      </c>
      <c r="G73" s="3658">
        <f>SUM(G61:G72)</f>
        <v>396620.69999643601</v>
      </c>
      <c r="H73" s="3659"/>
      <c r="J73" s="3658">
        <f>SUM(J61:J72)</f>
        <v>396620.69999643601</v>
      </c>
      <c r="K73" s="3659"/>
      <c r="L73" s="340"/>
      <c r="M73" s="3658">
        <f>SUM(M61:M72)</f>
        <v>0</v>
      </c>
      <c r="N73" s="3659"/>
      <c r="P73" s="3658">
        <f>SUM(P61:P72)</f>
        <v>0</v>
      </c>
      <c r="Q73" s="3659"/>
      <c r="S73" s="3658">
        <f>SUM(S61:S72)</f>
        <v>0</v>
      </c>
      <c r="T73" s="3659"/>
      <c r="V73" s="2802">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21">
        <v>300000</v>
      </c>
      <c r="H75" s="3522"/>
      <c r="J75" s="3521">
        <f>G75</f>
        <v>300000</v>
      </c>
      <c r="K75" s="3522"/>
      <c r="L75" s="2644"/>
      <c r="M75" s="3521"/>
      <c r="N75" s="3522"/>
      <c r="P75" s="3521"/>
      <c r="Q75" s="3522"/>
      <c r="S75" s="3521"/>
      <c r="T75" s="3522"/>
      <c r="V75" s="2797"/>
      <c r="W75" s="3632"/>
      <c r="X75" s="3633"/>
      <c r="AZ75" s="1808"/>
      <c r="BA75" s="1773">
        <v>75</v>
      </c>
    </row>
    <row r="76" spans="1:53" s="289" customFormat="1" ht="12" customHeight="1">
      <c r="B76" s="289" t="s">
        <v>458</v>
      </c>
      <c r="G76" s="3532">
        <v>100000</v>
      </c>
      <c r="H76" s="3533"/>
      <c r="J76" s="3532">
        <f>G76</f>
        <v>100000</v>
      </c>
      <c r="K76" s="3533"/>
      <c r="L76" s="2644"/>
      <c r="M76" s="3532"/>
      <c r="N76" s="3533"/>
      <c r="P76" s="3532"/>
      <c r="Q76" s="3533"/>
      <c r="S76" s="3532"/>
      <c r="T76" s="3533"/>
      <c r="V76" s="2797"/>
      <c r="W76" s="3632"/>
      <c r="X76" s="3633"/>
      <c r="AZ76" s="1808"/>
      <c r="BA76" s="1773">
        <v>76</v>
      </c>
    </row>
    <row r="77" spans="1:53" s="289" customFormat="1" ht="12" customHeight="1">
      <c r="B77" s="289" t="s">
        <v>1086</v>
      </c>
      <c r="D77" s="301"/>
      <c r="E77" s="927"/>
      <c r="F77" s="928"/>
      <c r="G77" s="3532">
        <v>36575</v>
      </c>
      <c r="H77" s="3533"/>
      <c r="J77" s="3532">
        <f t="shared" ref="J77:J84" si="3">G77</f>
        <v>36575</v>
      </c>
      <c r="K77" s="3533"/>
      <c r="L77" s="2644"/>
      <c r="M77" s="3532"/>
      <c r="N77" s="3533"/>
      <c r="P77" s="3532"/>
      <c r="Q77" s="3533"/>
      <c r="S77" s="3532"/>
      <c r="T77" s="3533"/>
      <c r="V77" s="2797"/>
      <c r="W77" s="3632"/>
      <c r="X77" s="3633"/>
      <c r="AZ77" s="1808"/>
      <c r="BA77" s="1773">
        <v>77</v>
      </c>
    </row>
    <row r="78" spans="1:53" s="289" customFormat="1" ht="12" customHeight="1">
      <c r="B78" s="289" t="s">
        <v>1087</v>
      </c>
      <c r="G78" s="3532">
        <v>11765</v>
      </c>
      <c r="H78" s="3533"/>
      <c r="J78" s="3532">
        <f t="shared" si="3"/>
        <v>11765</v>
      </c>
      <c r="K78" s="3533"/>
      <c r="L78" s="2644"/>
      <c r="M78" s="3532"/>
      <c r="N78" s="3533"/>
      <c r="P78" s="3532"/>
      <c r="Q78" s="3533"/>
      <c r="S78" s="3532"/>
      <c r="T78" s="3533"/>
      <c r="V78" s="2797"/>
      <c r="W78" s="3632"/>
      <c r="X78" s="3633"/>
      <c r="AZ78" s="1808"/>
      <c r="BA78" s="1773">
        <v>78</v>
      </c>
    </row>
    <row r="79" spans="1:53" s="289" customFormat="1" ht="12" customHeight="1">
      <c r="B79" s="289" t="s">
        <v>1088</v>
      </c>
      <c r="G79" s="3532">
        <v>7500</v>
      </c>
      <c r="H79" s="3533"/>
      <c r="J79" s="3532">
        <f t="shared" si="3"/>
        <v>7500</v>
      </c>
      <c r="K79" s="3533"/>
      <c r="L79" s="2644"/>
      <c r="M79" s="3532"/>
      <c r="N79" s="3533"/>
      <c r="P79" s="3532"/>
      <c r="Q79" s="3533"/>
      <c r="S79" s="3532"/>
      <c r="T79" s="3533"/>
      <c r="V79" s="2797"/>
      <c r="W79" s="3632"/>
      <c r="X79" s="3633"/>
      <c r="AZ79" s="1808" t="s">
        <v>6689</v>
      </c>
      <c r="BA79" s="1773">
        <v>79</v>
      </c>
    </row>
    <row r="80" spans="1:53" s="289" customFormat="1" ht="12" customHeight="1">
      <c r="B80" s="289" t="s">
        <v>1089</v>
      </c>
      <c r="G80" s="3532">
        <v>30000</v>
      </c>
      <c r="H80" s="3533"/>
      <c r="J80" s="3532">
        <f t="shared" si="3"/>
        <v>30000</v>
      </c>
      <c r="K80" s="3533"/>
      <c r="L80" s="2644"/>
      <c r="M80" s="3532"/>
      <c r="N80" s="3533"/>
      <c r="P80" s="3532"/>
      <c r="Q80" s="3533"/>
      <c r="S80" s="3532"/>
      <c r="T80" s="3533"/>
      <c r="V80" s="2797"/>
      <c r="W80" s="3632"/>
      <c r="X80" s="3633"/>
      <c r="AZ80" s="1808" t="s">
        <v>6690</v>
      </c>
      <c r="BA80" s="1773">
        <v>80</v>
      </c>
    </row>
    <row r="81" spans="1:53" s="289" customFormat="1" ht="12" customHeight="1">
      <c r="B81" s="289" t="s">
        <v>459</v>
      </c>
      <c r="G81" s="3532">
        <v>100000</v>
      </c>
      <c r="H81" s="3533"/>
      <c r="J81" s="3532">
        <f t="shared" si="3"/>
        <v>100000</v>
      </c>
      <c r="K81" s="3533"/>
      <c r="L81" s="2644"/>
      <c r="M81" s="3532"/>
      <c r="N81" s="3533"/>
      <c r="P81" s="3532"/>
      <c r="Q81" s="3533"/>
      <c r="S81" s="3532"/>
      <c r="T81" s="3533"/>
      <c r="V81" s="2797"/>
      <c r="W81" s="3632"/>
      <c r="X81" s="3633"/>
      <c r="AZ81" s="1809"/>
      <c r="BA81" s="1773">
        <v>81</v>
      </c>
    </row>
    <row r="82" spans="1:53" s="289" customFormat="1" ht="12" customHeight="1">
      <c r="B82" s="289" t="s">
        <v>460</v>
      </c>
      <c r="G82" s="3532">
        <v>200000</v>
      </c>
      <c r="H82" s="3533"/>
      <c r="J82" s="3532">
        <f t="shared" si="3"/>
        <v>200000</v>
      </c>
      <c r="K82" s="3533"/>
      <c r="L82" s="2644"/>
      <c r="M82" s="3532"/>
      <c r="N82" s="3533"/>
      <c r="P82" s="3532"/>
      <c r="Q82" s="3533"/>
      <c r="S82" s="3532"/>
      <c r="T82" s="3533"/>
      <c r="V82" s="2797"/>
      <c r="W82" s="3632"/>
      <c r="X82" s="3633"/>
      <c r="AZ82" s="1808"/>
      <c r="BA82" s="1773">
        <v>82</v>
      </c>
    </row>
    <row r="83" spans="1:53" s="289" customFormat="1" ht="12" customHeight="1">
      <c r="B83" s="289" t="s">
        <v>1957</v>
      </c>
      <c r="G83" s="3532">
        <v>45000</v>
      </c>
      <c r="H83" s="3533"/>
      <c r="J83" s="3532">
        <f t="shared" si="3"/>
        <v>45000</v>
      </c>
      <c r="K83" s="3533"/>
      <c r="L83" s="2644"/>
      <c r="M83" s="3532"/>
      <c r="N83" s="3533"/>
      <c r="P83" s="3532"/>
      <c r="Q83" s="3533"/>
      <c r="S83" s="3532"/>
      <c r="T83" s="3533"/>
      <c r="V83" s="2797"/>
      <c r="W83" s="3632"/>
      <c r="X83" s="3633"/>
      <c r="AZ83" s="1808"/>
      <c r="BA83" s="1773">
        <v>83</v>
      </c>
    </row>
    <row r="84" spans="1:53" s="289" customFormat="1" ht="12" customHeight="1">
      <c r="B84" s="289" t="s">
        <v>1229</v>
      </c>
      <c r="G84" s="3532">
        <v>12500</v>
      </c>
      <c r="H84" s="3533"/>
      <c r="J84" s="3532">
        <f t="shared" si="3"/>
        <v>12500</v>
      </c>
      <c r="K84" s="3533"/>
      <c r="L84" s="2644"/>
      <c r="M84" s="3532"/>
      <c r="N84" s="3533"/>
      <c r="P84" s="3532"/>
      <c r="Q84" s="3533"/>
      <c r="S84" s="3532"/>
      <c r="T84" s="3533"/>
      <c r="V84" s="2797"/>
      <c r="W84" s="3632"/>
      <c r="X84" s="3633"/>
      <c r="AZ84" s="1808"/>
      <c r="BA84" s="1773">
        <v>84</v>
      </c>
    </row>
    <row r="85" spans="1:53" s="289" customFormat="1" ht="12" customHeight="1" thickBot="1">
      <c r="A85" s="363" t="str">
        <f>IF(AND(G85&gt;0,OR(C85="",C85="&lt;Enter detailed description here; use Comments section if needed&gt;")),"X","")</f>
        <v/>
      </c>
      <c r="B85" s="170" t="s">
        <v>6582</v>
      </c>
      <c r="C85" s="3668" t="s">
        <v>6961</v>
      </c>
      <c r="D85" s="3668"/>
      <c r="E85" s="3668"/>
      <c r="F85" s="3669"/>
      <c r="G85" s="3488">
        <v>30000</v>
      </c>
      <c r="H85" s="3489"/>
      <c r="J85" s="3488">
        <f>G85</f>
        <v>30000</v>
      </c>
      <c r="K85" s="3489"/>
      <c r="L85" s="2644"/>
      <c r="M85" s="3488"/>
      <c r="N85" s="3489"/>
      <c r="P85" s="3488"/>
      <c r="Q85" s="3489"/>
      <c r="S85" s="3488"/>
      <c r="T85" s="3489"/>
      <c r="U85" s="362" t="str">
        <f>IF(AND(G85&gt;0,OR(C85="",C85="&lt;Enter detailed description here; use Comments section if needed&gt;")),"NO DESCRIPTION PROVIDED - please enter detailed description in Other box at left; use Comments section below if needed.","")</f>
        <v/>
      </c>
      <c r="V85" s="2797"/>
      <c r="W85" s="3620"/>
      <c r="X85" s="3621"/>
      <c r="AZ85" s="1808"/>
      <c r="BA85" s="1773">
        <v>85</v>
      </c>
    </row>
    <row r="86" spans="1:53" s="289" customFormat="1" ht="12" customHeight="1" thickTop="1">
      <c r="F86" s="338" t="s">
        <v>183</v>
      </c>
      <c r="G86" s="3658">
        <f>SUM(G75:G85)</f>
        <v>873340</v>
      </c>
      <c r="H86" s="3659"/>
      <c r="J86" s="3658">
        <f>SUM(J75:J85)</f>
        <v>873340</v>
      </c>
      <c r="K86" s="3659"/>
      <c r="L86" s="340"/>
      <c r="M86" s="3658">
        <f>SUM(M75:M85)</f>
        <v>0</v>
      </c>
      <c r="N86" s="3659"/>
      <c r="P86" s="3658">
        <f>SUM(P75:P85)</f>
        <v>0</v>
      </c>
      <c r="Q86" s="3659"/>
      <c r="S86" s="3658">
        <f>SUM(S75:S85)</f>
        <v>0</v>
      </c>
      <c r="T86" s="3659"/>
      <c r="V86" s="2799">
        <f>SUM(V75:V85)</f>
        <v>0</v>
      </c>
      <c r="W86" s="3634"/>
      <c r="X86" s="3635"/>
      <c r="AZ86" s="1808" t="s">
        <v>6691</v>
      </c>
      <c r="BA86" s="1773">
        <v>86</v>
      </c>
    </row>
    <row r="87" spans="1:53" ht="12" customHeight="1">
      <c r="A87" s="289"/>
      <c r="B87" s="291" t="s">
        <v>1221</v>
      </c>
      <c r="C87" s="289"/>
      <c r="D87" s="788" t="s">
        <v>3360</v>
      </c>
      <c r="E87" s="861">
        <f>G92/'Part VI-Revenues &amp; Expenses'!$P$67</f>
        <v>5817.1105263157897</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21">
        <v>91502.5</v>
      </c>
      <c r="H88" s="3522"/>
      <c r="J88" s="3521">
        <f>G88</f>
        <v>91502.5</v>
      </c>
      <c r="K88" s="3522"/>
      <c r="L88" s="2644"/>
      <c r="M88" s="3521"/>
      <c r="N88" s="3522"/>
      <c r="P88" s="3521"/>
      <c r="Q88" s="3522"/>
      <c r="S88" s="3521"/>
      <c r="T88" s="3522"/>
      <c r="V88" s="2797"/>
      <c r="W88" s="3632"/>
      <c r="X88" s="3633"/>
      <c r="AZ88" s="1808"/>
      <c r="BA88" s="1773">
        <v>88</v>
      </c>
    </row>
    <row r="89" spans="1:53" s="289" customFormat="1" ht="12" customHeight="1">
      <c r="B89" s="289" t="s">
        <v>1223</v>
      </c>
      <c r="G89" s="3532">
        <v>185635</v>
      </c>
      <c r="H89" s="3533"/>
      <c r="J89" s="3521">
        <f t="shared" ref="J89:J91" si="4">G89</f>
        <v>185635</v>
      </c>
      <c r="K89" s="3522"/>
      <c r="L89" s="2644"/>
      <c r="M89" s="3532"/>
      <c r="N89" s="3533"/>
      <c r="P89" s="3532"/>
      <c r="Q89" s="3533"/>
      <c r="S89" s="3532"/>
      <c r="T89" s="3533"/>
      <c r="V89" s="2797"/>
      <c r="W89" s="3632"/>
      <c r="X89" s="3633"/>
      <c r="AZ89" s="1808"/>
      <c r="BA89" s="1773">
        <v>89</v>
      </c>
    </row>
    <row r="90" spans="1:53" s="289" customFormat="1" ht="12" customHeight="1">
      <c r="B90" s="289" t="s">
        <v>1224</v>
      </c>
      <c r="D90" s="346" t="s">
        <v>1353</v>
      </c>
      <c r="E90" s="2803"/>
      <c r="G90" s="3532">
        <v>86430</v>
      </c>
      <c r="H90" s="3533"/>
      <c r="I90" s="307"/>
      <c r="J90" s="3521">
        <f t="shared" si="4"/>
        <v>86430</v>
      </c>
      <c r="K90" s="3522"/>
      <c r="L90" s="2644"/>
      <c r="M90" s="3532"/>
      <c r="N90" s="3533"/>
      <c r="P90" s="3532"/>
      <c r="Q90" s="3533"/>
      <c r="S90" s="3532"/>
      <c r="T90" s="3533"/>
      <c r="V90" s="2797"/>
      <c r="W90" s="3632"/>
      <c r="X90" s="3633"/>
      <c r="AZ90" s="1808"/>
      <c r="BA90" s="1773">
        <v>90</v>
      </c>
    </row>
    <row r="91" spans="1:53" s="289" customFormat="1" ht="12" customHeight="1" thickBot="1">
      <c r="B91" s="289" t="s">
        <v>1225</v>
      </c>
      <c r="D91" s="346" t="s">
        <v>1353</v>
      </c>
      <c r="E91" s="2804"/>
      <c r="G91" s="3488">
        <v>189058</v>
      </c>
      <c r="H91" s="3489"/>
      <c r="I91" s="307"/>
      <c r="J91" s="3521">
        <f t="shared" si="4"/>
        <v>189058</v>
      </c>
      <c r="K91" s="3522"/>
      <c r="L91" s="2644"/>
      <c r="M91" s="3488"/>
      <c r="N91" s="3489"/>
      <c r="P91" s="3488"/>
      <c r="Q91" s="3489"/>
      <c r="S91" s="3488"/>
      <c r="T91" s="3489"/>
      <c r="V91" s="2797"/>
      <c r="W91" s="3620"/>
      <c r="X91" s="3621"/>
      <c r="AZ91" s="1808"/>
      <c r="BA91" s="1773">
        <v>91</v>
      </c>
    </row>
    <row r="92" spans="1:53" s="289" customFormat="1" ht="12" customHeight="1" thickTop="1">
      <c r="F92" s="338" t="s">
        <v>183</v>
      </c>
      <c r="G92" s="3658">
        <f>SUM(G88:G91)</f>
        <v>552625.5</v>
      </c>
      <c r="H92" s="3659"/>
      <c r="J92" s="3658">
        <f>SUM(J88:J91)</f>
        <v>552625.5</v>
      </c>
      <c r="K92" s="3659"/>
      <c r="L92" s="340"/>
      <c r="M92" s="3658">
        <f>SUM(M88:M91)</f>
        <v>0</v>
      </c>
      <c r="N92" s="3659"/>
      <c r="P92" s="3658">
        <f>SUM(P88:P91)</f>
        <v>0</v>
      </c>
      <c r="Q92" s="3659"/>
      <c r="S92" s="3658">
        <f>SUM(S88:S91)</f>
        <v>0</v>
      </c>
      <c r="T92" s="3659"/>
      <c r="V92" s="2799">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21">
        <v>50000</v>
      </c>
      <c r="H97" s="3522"/>
      <c r="J97" s="3697"/>
      <c r="K97" s="3697"/>
      <c r="L97" s="2644"/>
      <c r="M97" s="3697"/>
      <c r="N97" s="3697"/>
      <c r="P97" s="3697"/>
      <c r="Q97" s="3697"/>
      <c r="S97" s="3521">
        <f>G97</f>
        <v>50000</v>
      </c>
      <c r="T97" s="3522"/>
      <c r="V97" s="2797"/>
      <c r="W97" s="3632"/>
      <c r="X97" s="3633"/>
      <c r="AZ97" s="1808" t="s">
        <v>6693</v>
      </c>
      <c r="BA97" s="1773">
        <v>94</v>
      </c>
    </row>
    <row r="98" spans="1:53" s="289" customFormat="1" ht="12" customHeight="1">
      <c r="B98" s="289" t="s">
        <v>1227</v>
      </c>
      <c r="G98" s="3532">
        <v>30000</v>
      </c>
      <c r="H98" s="3533"/>
      <c r="J98" s="3697"/>
      <c r="K98" s="3697"/>
      <c r="L98" s="2644"/>
      <c r="M98" s="3697"/>
      <c r="N98" s="3697"/>
      <c r="P98" s="3697"/>
      <c r="Q98" s="3697"/>
      <c r="S98" s="3532">
        <f>G98</f>
        <v>30000</v>
      </c>
      <c r="T98" s="3533"/>
      <c r="V98" s="2797"/>
      <c r="W98" s="3632"/>
      <c r="X98" s="3633"/>
      <c r="AZ98" s="1808"/>
      <c r="BA98" s="1773">
        <v>95</v>
      </c>
    </row>
    <row r="99" spans="1:53" s="289" customFormat="1" ht="12" customHeight="1">
      <c r="B99" s="289" t="s">
        <v>1228</v>
      </c>
      <c r="G99" s="3532">
        <v>26250</v>
      </c>
      <c r="H99" s="3533"/>
      <c r="J99" s="3697"/>
      <c r="K99" s="3697"/>
      <c r="L99" s="2644"/>
      <c r="M99" s="3697"/>
      <c r="N99" s="3697"/>
      <c r="P99" s="3697"/>
      <c r="Q99" s="3697"/>
      <c r="S99" s="3532">
        <f>G99</f>
        <v>26250</v>
      </c>
      <c r="T99" s="3533"/>
      <c r="V99" s="2797"/>
      <c r="W99" s="3632"/>
      <c r="X99" s="3633"/>
      <c r="AZ99" s="1808"/>
      <c r="BA99" s="1773">
        <v>96</v>
      </c>
    </row>
    <row r="100" spans="1:53" s="289" customFormat="1" ht="12" customHeight="1">
      <c r="B100" s="289" t="s">
        <v>1230</v>
      </c>
      <c r="G100" s="3532"/>
      <c r="H100" s="3533"/>
      <c r="J100" s="3697"/>
      <c r="K100" s="3697"/>
      <c r="L100" s="2644"/>
      <c r="M100" s="3697"/>
      <c r="N100" s="3697"/>
      <c r="P100" s="3697"/>
      <c r="Q100" s="3697"/>
      <c r="S100" s="3532"/>
      <c r="T100" s="3533"/>
      <c r="V100" s="2797"/>
      <c r="W100" s="3632"/>
      <c r="X100" s="3633"/>
      <c r="AZ100" s="1808"/>
      <c r="BA100" s="1773">
        <v>97</v>
      </c>
    </row>
    <row r="101" spans="1:53" s="289" customFormat="1" ht="12" customHeight="1">
      <c r="B101" s="289" t="s">
        <v>2195</v>
      </c>
      <c r="G101" s="3532"/>
      <c r="H101" s="3533"/>
      <c r="J101" s="3697"/>
      <c r="K101" s="3697"/>
      <c r="L101" s="2644"/>
      <c r="M101" s="3697"/>
      <c r="N101" s="3697"/>
      <c r="P101" s="3697"/>
      <c r="Q101" s="3697"/>
      <c r="S101" s="3532"/>
      <c r="T101" s="3533"/>
      <c r="V101" s="2797"/>
      <c r="W101" s="3632"/>
      <c r="X101" s="3633"/>
      <c r="AZ101" s="1808"/>
      <c r="BA101" s="1773">
        <v>98</v>
      </c>
    </row>
    <row r="102" spans="1:53" s="289" customFormat="1" ht="12" customHeight="1" thickBot="1">
      <c r="A102" s="363" t="str">
        <f>IF(AND(G102&gt;0,OR(C102="",C102="&lt;Enter detailed description here; use Comments section if needed&gt;")),"X","")</f>
        <v/>
      </c>
      <c r="B102" s="170" t="s">
        <v>6583</v>
      </c>
      <c r="C102" s="3668" t="s">
        <v>3342</v>
      </c>
      <c r="D102" s="3668"/>
      <c r="E102" s="3668"/>
      <c r="F102" s="3669"/>
      <c r="G102" s="3488"/>
      <c r="H102" s="3489"/>
      <c r="J102" s="3697"/>
      <c r="K102" s="3697"/>
      <c r="L102" s="2644"/>
      <c r="M102" s="3697"/>
      <c r="N102" s="3697"/>
      <c r="P102" s="3697"/>
      <c r="Q102" s="3697"/>
      <c r="S102" s="3488"/>
      <c r="T102" s="3489"/>
      <c r="U102" s="362" t="str">
        <f>IF(AND(G102&gt;0,OR(C102="",C102="&lt;Enter detailed description here; use Comments section if needed&gt;")),"NO DESCRIPTION PROVIDED - please enter detailed description in Other box at left; use Comments section below if needed.","")</f>
        <v/>
      </c>
      <c r="V102" s="2797"/>
      <c r="W102" s="3620"/>
      <c r="X102" s="3621"/>
      <c r="AZ102" s="1808"/>
      <c r="BA102" s="1773">
        <v>99</v>
      </c>
    </row>
    <row r="103" spans="1:53" s="289" customFormat="1" ht="12" customHeight="1" thickTop="1">
      <c r="F103" s="338" t="s">
        <v>183</v>
      </c>
      <c r="G103" s="3658">
        <f>SUM(G97:G102)</f>
        <v>106250</v>
      </c>
      <c r="H103" s="3659"/>
      <c r="J103" s="3697"/>
      <c r="K103" s="3697"/>
      <c r="L103" s="340"/>
      <c r="M103" s="3697"/>
      <c r="N103" s="3697"/>
      <c r="P103" s="3697"/>
      <c r="Q103" s="3697"/>
      <c r="S103" s="3658">
        <f>SUM(S97:S102)</f>
        <v>106250</v>
      </c>
      <c r="T103" s="3659"/>
      <c r="V103" s="2799">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21">
        <v>1000</v>
      </c>
      <c r="H105" s="3522"/>
      <c r="J105" s="340"/>
      <c r="K105" s="340"/>
      <c r="L105" s="2644"/>
      <c r="M105" s="340"/>
      <c r="N105" s="340"/>
      <c r="P105" s="340"/>
      <c r="Q105" s="340"/>
      <c r="S105" s="3521">
        <f>G105</f>
        <v>1000</v>
      </c>
      <c r="T105" s="3522"/>
      <c r="V105" s="2797"/>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2">
        <v>6500</v>
      </c>
      <c r="H106" s="3533"/>
      <c r="J106" s="340"/>
      <c r="K106" s="340"/>
      <c r="L106" s="347"/>
      <c r="M106" s="340"/>
      <c r="N106" s="340"/>
      <c r="P106" s="340"/>
      <c r="Q106" s="340"/>
      <c r="S106" s="3532">
        <f>G106</f>
        <v>6500</v>
      </c>
      <c r="T106" s="3533"/>
      <c r="V106" s="2797"/>
      <c r="W106" s="3632"/>
      <c r="X106" s="3633"/>
      <c r="AZ106" s="1808" t="s">
        <v>6694</v>
      </c>
      <c r="BA106" s="1773">
        <v>106</v>
      </c>
    </row>
    <row r="107" spans="1:53" s="289" customFormat="1" ht="12.6" customHeight="1">
      <c r="B107" s="289" t="s">
        <v>3461</v>
      </c>
      <c r="G107" s="3532"/>
      <c r="H107" s="3533"/>
      <c r="J107" s="340"/>
      <c r="K107" s="340"/>
      <c r="L107" s="347"/>
      <c r="M107" s="340"/>
      <c r="N107" s="340"/>
      <c r="O107" s="2628"/>
      <c r="P107" s="340"/>
      <c r="Q107" s="340"/>
      <c r="S107" s="3532">
        <f t="shared" ref="S107:S113" si="5">G107</f>
        <v>0</v>
      </c>
      <c r="T107" s="3533"/>
      <c r="V107" s="2797"/>
      <c r="W107" s="3632"/>
      <c r="X107" s="3633"/>
      <c r="AZ107" s="1808" t="s">
        <v>6695</v>
      </c>
      <c r="BA107" s="1773">
        <v>107</v>
      </c>
    </row>
    <row r="108" spans="1:53" s="289" customFormat="1" ht="12.6" customHeight="1">
      <c r="B108" s="289" t="s">
        <v>494</v>
      </c>
      <c r="E108" s="3698">
        <f>ROUNDUP('DCA Underwriting Assumptions'!$Q$93*J197,0)</f>
        <v>80000</v>
      </c>
      <c r="F108" s="3699"/>
      <c r="G108" s="3532">
        <v>80000</v>
      </c>
      <c r="H108" s="3533"/>
      <c r="J108" s="862" t="str">
        <f>IF(E108&gt;G108,"WARNING!  LIHTC Allocation Fee proposed is below minimum required.","")</f>
        <v/>
      </c>
      <c r="K108" s="340"/>
      <c r="L108" s="2644"/>
      <c r="M108" s="340"/>
      <c r="N108" s="340"/>
      <c r="O108" s="2628"/>
      <c r="P108" s="340"/>
      <c r="Q108" s="340"/>
      <c r="S108" s="3532">
        <f t="shared" si="5"/>
        <v>80000</v>
      </c>
      <c r="T108" s="3533"/>
      <c r="V108" s="2797"/>
      <c r="W108" s="3632"/>
      <c r="X108" s="3633"/>
      <c r="AZ108" s="1808" t="s">
        <v>6696</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95000</v>
      </c>
      <c r="F109" s="3699"/>
      <c r="G109" s="3532">
        <v>95000</v>
      </c>
      <c r="H109" s="3533"/>
      <c r="I109" s="3610" t="str">
        <f>IF(E109&gt;G109,"WARNING!  LIHTC Compliance Fee proposed is below minimum required.","")</f>
        <v/>
      </c>
      <c r="J109" s="3611"/>
      <c r="K109" s="3611"/>
      <c r="L109" s="3611"/>
      <c r="M109" s="3611"/>
      <c r="N109" s="3611"/>
      <c r="O109" s="3611"/>
      <c r="P109" s="3611"/>
      <c r="Q109" s="3611"/>
      <c r="R109" s="3612"/>
      <c r="S109" s="3532">
        <f t="shared" si="5"/>
        <v>95000</v>
      </c>
      <c r="T109" s="3533"/>
      <c r="V109" s="2797"/>
      <c r="W109" s="3632"/>
      <c r="X109" s="3633"/>
      <c r="AZ109" s="1808"/>
      <c r="BA109" s="1773">
        <v>109</v>
      </c>
    </row>
    <row r="110" spans="1:53" s="289" customFormat="1" ht="12.6" customHeight="1">
      <c r="B110" s="289" t="s">
        <v>3601</v>
      </c>
      <c r="F110" s="1034">
        <f>ROUNDUP('DCA Underwriting Assumptions'!$Q$95,0)</f>
        <v>0</v>
      </c>
      <c r="G110" s="3532"/>
      <c r="H110" s="3533"/>
      <c r="I110" s="3610"/>
      <c r="J110" s="3611"/>
      <c r="K110" s="3611"/>
      <c r="L110" s="3611"/>
      <c r="M110" s="3611"/>
      <c r="N110" s="3611"/>
      <c r="O110" s="3611"/>
      <c r="P110" s="3611"/>
      <c r="Q110" s="3611"/>
      <c r="R110" s="3612"/>
      <c r="S110" s="3532">
        <f t="shared" si="5"/>
        <v>0</v>
      </c>
      <c r="T110" s="3533"/>
      <c r="V110" s="2797"/>
      <c r="W110" s="3632"/>
      <c r="X110" s="3633"/>
      <c r="AZ110" s="1808"/>
      <c r="BA110" s="1773">
        <v>110</v>
      </c>
    </row>
    <row r="111" spans="1:53" s="289" customFormat="1" ht="12.6" customHeight="1">
      <c r="B111" s="289" t="s">
        <v>3602</v>
      </c>
      <c r="F111" s="1034">
        <f>ROUNDUP('DCA Underwriting Assumptions'!$Q$128,0)</f>
        <v>3000</v>
      </c>
      <c r="G111" s="3532">
        <v>3000</v>
      </c>
      <c r="H111" s="3533"/>
      <c r="J111" s="267"/>
      <c r="K111" s="267"/>
      <c r="L111" s="267"/>
      <c r="M111" s="267"/>
      <c r="N111" s="267"/>
      <c r="O111" s="267"/>
      <c r="P111" s="267"/>
      <c r="Q111" s="267"/>
      <c r="S111" s="3532">
        <f t="shared" si="5"/>
        <v>3000</v>
      </c>
      <c r="T111" s="3533"/>
      <c r="V111" s="2797"/>
      <c r="W111" s="3632"/>
      <c r="X111" s="3633"/>
      <c r="AZ111" s="1808"/>
      <c r="BA111" s="1773">
        <v>111</v>
      </c>
    </row>
    <row r="112" spans="1:53" s="289" customFormat="1" ht="12.6" customHeight="1">
      <c r="A112" s="363" t="str">
        <f>IF(AND(G112&gt;0,OR(C112="",C112="&lt;Enter detailed description here; use Comments section if needed&gt;")),"X","")</f>
        <v/>
      </c>
      <c r="B112" s="170" t="s">
        <v>6579</v>
      </c>
      <c r="C112" s="3693" t="s">
        <v>3342</v>
      </c>
      <c r="D112" s="3693"/>
      <c r="E112" s="3693"/>
      <c r="F112" s="3694"/>
      <c r="G112" s="3532"/>
      <c r="H112" s="3533"/>
      <c r="J112" s="267"/>
      <c r="K112" s="267"/>
      <c r="L112" s="267"/>
      <c r="M112" s="267"/>
      <c r="N112" s="267"/>
      <c r="O112" s="267"/>
      <c r="P112" s="267"/>
      <c r="Q112" s="267"/>
      <c r="S112" s="3532">
        <f t="shared" si="5"/>
        <v>0</v>
      </c>
      <c r="T112" s="3533"/>
      <c r="U112" s="362" t="str">
        <f>IF(AND(G112&gt;0,OR(C112="",C112="&lt;Enter detailed description here; use Comments section if needed&gt;")),"NO DESCRIPTION PROVIDED - please enter detailed description in Other box at left; use Comments section below if needed.","")</f>
        <v/>
      </c>
      <c r="V112" s="2797"/>
      <c r="W112" s="3632"/>
      <c r="X112" s="3633"/>
      <c r="AZ112" s="1808"/>
      <c r="BA112" s="1773">
        <v>112</v>
      </c>
    </row>
    <row r="113" spans="1:53" s="289" customFormat="1" ht="12.6" customHeight="1" thickBot="1">
      <c r="A113" s="363" t="str">
        <f>IF(AND(G113&gt;0,OR(C113="",C113="&lt;Enter detailed description here; use Comments section if needed&gt;")),"X","")</f>
        <v/>
      </c>
      <c r="B113" s="170" t="s">
        <v>6579</v>
      </c>
      <c r="C113" s="3693" t="s">
        <v>3342</v>
      </c>
      <c r="D113" s="3693"/>
      <c r="E113" s="3693"/>
      <c r="F113" s="3694"/>
      <c r="G113" s="3488"/>
      <c r="H113" s="3489"/>
      <c r="J113" s="267"/>
      <c r="K113" s="267"/>
      <c r="L113" s="267"/>
      <c r="M113" s="267"/>
      <c r="N113" s="267"/>
      <c r="O113" s="267"/>
      <c r="P113" s="267"/>
      <c r="Q113" s="267"/>
      <c r="S113" s="3532">
        <f t="shared" si="5"/>
        <v>0</v>
      </c>
      <c r="T113" s="3533"/>
      <c r="U113" s="362" t="str">
        <f>IF(AND(G113&gt;0,OR(C113="",C113="&lt;Enter detailed description here; use Comments section if needed&gt;")),"NO DESCRIPTION PROVIDED - please enter detailed description in Other box at left; use Comments section below if needed.","")</f>
        <v/>
      </c>
      <c r="V113" s="2797"/>
      <c r="W113" s="3620"/>
      <c r="X113" s="3621"/>
      <c r="AZ113" s="1808" t="s">
        <v>6697</v>
      </c>
      <c r="BA113" s="1773">
        <v>113</v>
      </c>
    </row>
    <row r="114" spans="1:53" s="289" customFormat="1" ht="12.6" customHeight="1" thickTop="1">
      <c r="F114" s="338" t="s">
        <v>183</v>
      </c>
      <c r="G114" s="3658">
        <f>SUM(G105:G113)</f>
        <v>185500</v>
      </c>
      <c r="H114" s="3659"/>
      <c r="J114" s="340"/>
      <c r="K114" s="340"/>
      <c r="L114" s="2644"/>
      <c r="M114" s="340"/>
      <c r="N114" s="340"/>
      <c r="P114" s="340"/>
      <c r="Q114" s="340"/>
      <c r="S114" s="3658">
        <f>SUM(S105:S113)</f>
        <v>185500</v>
      </c>
      <c r="T114" s="3659"/>
      <c r="V114" s="2799">
        <f>SUM(V105:V113)</f>
        <v>0</v>
      </c>
      <c r="W114" s="3749"/>
      <c r="X114" s="3750"/>
      <c r="AZ114" s="1808" t="s">
        <v>6698</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5"/>
      <c r="BA115" s="1773">
        <v>115</v>
      </c>
    </row>
    <row r="116" spans="1:53" s="289" customFormat="1" ht="12.6" customHeight="1">
      <c r="B116" s="289" t="s">
        <v>268</v>
      </c>
      <c r="G116" s="3521">
        <v>40000</v>
      </c>
      <c r="H116" s="3522"/>
      <c r="J116" s="3697"/>
      <c r="K116" s="3697"/>
      <c r="L116" s="2644"/>
      <c r="M116" s="3697"/>
      <c r="N116" s="3697"/>
      <c r="O116" s="2628"/>
      <c r="P116" s="3697"/>
      <c r="Q116" s="3697"/>
      <c r="S116" s="3521">
        <f>G116</f>
        <v>40000</v>
      </c>
      <c r="T116" s="3522"/>
      <c r="V116" s="2797"/>
      <c r="W116" s="3632"/>
      <c r="X116" s="3633"/>
      <c r="AZ116" s="2805"/>
      <c r="BA116" s="1773">
        <v>116</v>
      </c>
    </row>
    <row r="117" spans="1:53" s="289" customFormat="1" ht="12.6" customHeight="1">
      <c r="B117" s="289" t="s">
        <v>269</v>
      </c>
      <c r="G117" s="3532"/>
      <c r="H117" s="3533"/>
      <c r="J117" s="3697"/>
      <c r="K117" s="3697"/>
      <c r="L117" s="2644"/>
      <c r="M117" s="3697"/>
      <c r="N117" s="3697"/>
      <c r="O117" s="2628"/>
      <c r="P117" s="3697"/>
      <c r="Q117" s="3697"/>
      <c r="S117" s="3532"/>
      <c r="T117" s="3533"/>
      <c r="V117" s="2797"/>
      <c r="W117" s="3632"/>
      <c r="X117" s="3633"/>
      <c r="AZ117" s="2805"/>
      <c r="BA117" s="1773">
        <v>117</v>
      </c>
    </row>
    <row r="118" spans="1:53" s="289" customFormat="1" ht="12.6" customHeight="1">
      <c r="B118" s="289" t="s">
        <v>2279</v>
      </c>
      <c r="G118" s="3532"/>
      <c r="H118" s="3533"/>
      <c r="J118" s="3697"/>
      <c r="K118" s="3697"/>
      <c r="L118" s="2644"/>
      <c r="M118" s="3697"/>
      <c r="N118" s="3697"/>
      <c r="O118" s="2628"/>
      <c r="P118" s="3697"/>
      <c r="Q118" s="3697"/>
      <c r="S118" s="3532"/>
      <c r="T118" s="3533"/>
      <c r="V118" s="2797"/>
      <c r="W118" s="3632"/>
      <c r="X118" s="3633"/>
      <c r="AZ118" s="2805"/>
      <c r="BA118" s="1773">
        <v>118</v>
      </c>
    </row>
    <row r="119" spans="1:53" s="289" customFormat="1" ht="12.6" customHeight="1" thickBot="1">
      <c r="A119" s="363" t="str">
        <f>IF(AND(G119&gt;0,OR(C119="",C119="&lt;Enter detailed description here; use Comments section if needed&gt;")),"X","")</f>
        <v/>
      </c>
      <c r="B119" s="170" t="s">
        <v>6579</v>
      </c>
      <c r="C119" s="3668" t="s">
        <v>3342</v>
      </c>
      <c r="D119" s="3668"/>
      <c r="E119" s="3668"/>
      <c r="F119" s="3669"/>
      <c r="G119" s="3488"/>
      <c r="H119" s="3489"/>
      <c r="J119" s="3697"/>
      <c r="K119" s="3697"/>
      <c r="L119" s="2644"/>
      <c r="M119" s="3697"/>
      <c r="N119" s="3697"/>
      <c r="O119" s="2628"/>
      <c r="P119" s="3697"/>
      <c r="Q119" s="3697"/>
      <c r="S119" s="3488"/>
      <c r="T119" s="3489"/>
      <c r="U119" s="362" t="str">
        <f>IF(AND(G119&gt;0,OR(C119="",C119="&lt;Enter detailed description here; use Comments section if needed&gt;")),"NO DESCRIPTION PROVIDED - please enter detailed description in Other box at left; use Comments section below if needed.","")</f>
        <v/>
      </c>
      <c r="V119" s="2797"/>
      <c r="W119" s="3620"/>
      <c r="X119" s="3621"/>
      <c r="AZ119" s="2805"/>
      <c r="BA119" s="1773">
        <v>119</v>
      </c>
    </row>
    <row r="120" spans="1:53" s="289" customFormat="1" ht="12.6" customHeight="1" thickTop="1">
      <c r="F120" s="338" t="s">
        <v>183</v>
      </c>
      <c r="G120" s="3658">
        <f>SUM(G116:G119)</f>
        <v>40000</v>
      </c>
      <c r="H120" s="3659"/>
      <c r="J120" s="3697"/>
      <c r="K120" s="3697"/>
      <c r="L120" s="2644"/>
      <c r="M120" s="3697"/>
      <c r="N120" s="3697"/>
      <c r="O120" s="2628"/>
      <c r="P120" s="3697"/>
      <c r="Q120" s="3697"/>
      <c r="S120" s="3658">
        <f>SUM(S116:S119)</f>
        <v>40000</v>
      </c>
      <c r="T120" s="3659"/>
      <c r="V120" s="2799">
        <f>SUM(V116:V119)</f>
        <v>0</v>
      </c>
      <c r="W120" s="3634"/>
      <c r="X120" s="3635"/>
      <c r="AC120" s="3636" t="s">
        <v>4112</v>
      </c>
      <c r="AD120" s="3636" t="s">
        <v>4113</v>
      </c>
      <c r="AE120" s="3650" t="s">
        <v>4118</v>
      </c>
      <c r="AF120" s="3660" t="s">
        <v>4114</v>
      </c>
      <c r="AZ120" s="2805"/>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6" t="s">
        <v>4103</v>
      </c>
      <c r="Z121" s="1371"/>
      <c r="AA121" s="274" t="s">
        <v>4109</v>
      </c>
      <c r="AB121" s="274" t="s">
        <v>4110</v>
      </c>
      <c r="AC121" s="3637"/>
      <c r="AD121" s="3637"/>
      <c r="AE121" s="3651"/>
      <c r="AF121" s="3661"/>
      <c r="AI121" s="27"/>
      <c r="AK121" s="418"/>
      <c r="AZ121" s="2805" t="s">
        <v>6699</v>
      </c>
      <c r="BA121" s="1773">
        <v>121</v>
      </c>
    </row>
    <row r="122" spans="1:53" s="289" customFormat="1" ht="12.6" customHeight="1">
      <c r="B122" s="289" t="s">
        <v>1774</v>
      </c>
      <c r="F122" s="388">
        <f>IF($G$127=0,0,G122/$G$127)</f>
        <v>0.1905</v>
      </c>
      <c r="G122" s="3700">
        <v>381000</v>
      </c>
      <c r="H122" s="3700"/>
      <c r="J122" s="3701">
        <f>G122</f>
        <v>381000</v>
      </c>
      <c r="K122" s="3702"/>
      <c r="L122" s="339"/>
      <c r="M122" s="3701"/>
      <c r="N122" s="3702"/>
      <c r="P122" s="3701"/>
      <c r="Q122" s="3702"/>
      <c r="S122" s="3701"/>
      <c r="T122" s="3702"/>
      <c r="V122" s="2797"/>
      <c r="W122" s="3632"/>
      <c r="X122" s="3633"/>
      <c r="Y122" s="157"/>
      <c r="Z122" s="2807">
        <v>0.09</v>
      </c>
      <c r="AA122" s="2808">
        <f>'DCA Underwriting Assumptions'!$J$105</f>
        <v>1</v>
      </c>
      <c r="AB122" s="2808">
        <f>'DCA Underwriting Assumptions'!$K$105</f>
        <v>50</v>
      </c>
      <c r="AC122" s="2809">
        <f>'DCA Underwriting Assumptions'!$Q$105</f>
        <v>25000</v>
      </c>
      <c r="AD122" s="2809">
        <f>AB122*AC122</f>
        <v>1250000</v>
      </c>
      <c r="AE122" s="2809">
        <f>IF('Part VI-Revenues &amp; Expenses'!$P$67&lt;AA123,'Part VI-Revenues &amp; Expenses'!$P$67*'Part IV-A-Uses of Funds'!AC122,AB122*AC122)</f>
        <v>1250000</v>
      </c>
      <c r="AF122" s="3662">
        <f>SUM(AE122:AE124)</f>
        <v>2000000</v>
      </c>
      <c r="AI122" s="27"/>
      <c r="AZ122" s="2805"/>
      <c r="BA122" s="1773">
        <v>122</v>
      </c>
    </row>
    <row r="123" spans="1:53" s="289" customFormat="1" ht="12.6" customHeight="1">
      <c r="B123" s="289" t="s">
        <v>3563</v>
      </c>
      <c r="F123" s="2810">
        <v>726214</v>
      </c>
      <c r="V123" s="2797"/>
      <c r="W123" s="3632"/>
      <c r="X123" s="3633"/>
      <c r="Y123" s="157"/>
      <c r="Z123" s="119"/>
      <c r="AA123" s="2811">
        <f>'DCA Underwriting Assumptions'!$J$106</f>
        <v>51</v>
      </c>
      <c r="AB123" s="2811">
        <f>'DCA Underwriting Assumptions'!$K$106</f>
        <v>70</v>
      </c>
      <c r="AC123" s="2812">
        <f>'DCA Underwriting Assumptions'!$Q$106</f>
        <v>20000</v>
      </c>
      <c r="AD123" s="2812">
        <f>(AB123-AB122)*AC123</f>
        <v>400000</v>
      </c>
      <c r="AE123" s="2812">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3"/>
      <c r="AI123" s="27"/>
      <c r="AZ123" s="2805"/>
      <c r="BA123" s="1773">
        <v>123</v>
      </c>
    </row>
    <row r="124" spans="1:53" s="289" customFormat="1" ht="12.6" customHeight="1">
      <c r="B124" s="289" t="s">
        <v>1775</v>
      </c>
      <c r="F124" s="388">
        <f>IF($G$127=0,0,G124/$G$127)</f>
        <v>4.7500000000000001E-2</v>
      </c>
      <c r="G124" s="3521">
        <v>95000</v>
      </c>
      <c r="H124" s="3522"/>
      <c r="J124" s="3521">
        <f>G124</f>
        <v>95000</v>
      </c>
      <c r="K124" s="3522"/>
      <c r="L124" s="2644"/>
      <c r="M124" s="3521"/>
      <c r="N124" s="3522"/>
      <c r="P124" s="3521"/>
      <c r="Q124" s="3522"/>
      <c r="S124" s="3521"/>
      <c r="T124" s="3522"/>
      <c r="V124" s="2797"/>
      <c r="W124" s="3632"/>
      <c r="X124" s="3633"/>
      <c r="Y124" s="157"/>
      <c r="Z124" s="119"/>
      <c r="AA124" s="2813">
        <f>'DCA Underwriting Assumptions'!$J$107</f>
        <v>71</v>
      </c>
      <c r="AB124" s="2814"/>
      <c r="AC124" s="2815">
        <f>'DCA Underwriting Assumptions'!$Q$107</f>
        <v>15000</v>
      </c>
      <c r="AD124" s="2815">
        <f>AF130-AD123-AD122</f>
        <v>350000</v>
      </c>
      <c r="AE124" s="2815">
        <f>MIN(AD124,IF('Part VI-Revenues &amp; Expenses'!$P$67&gt;AB123,('Part VI-Revenues &amp; Expenses'!$P$67-AB123)*AC124,0))</f>
        <v>350000</v>
      </c>
      <c r="AF124" s="3664"/>
      <c r="AI124" s="27"/>
      <c r="AZ124" s="2805"/>
      <c r="BA124" s="1773">
        <v>124</v>
      </c>
    </row>
    <row r="125" spans="1:53" s="289" customFormat="1" ht="12.6" customHeight="1">
      <c r="B125" s="289" t="s">
        <v>3284</v>
      </c>
      <c r="F125" s="388">
        <f>IF($G$127=0,0,G125/$G$127)</f>
        <v>0</v>
      </c>
      <c r="G125" s="3532"/>
      <c r="H125" s="3533"/>
      <c r="J125" s="3532"/>
      <c r="K125" s="3533"/>
      <c r="L125" s="2644"/>
      <c r="M125" s="3532"/>
      <c r="N125" s="3533"/>
      <c r="P125" s="3532"/>
      <c r="Q125" s="3533"/>
      <c r="S125" s="3532"/>
      <c r="T125" s="3533"/>
      <c r="V125" s="2797"/>
      <c r="W125" s="3632"/>
      <c r="X125" s="3633"/>
      <c r="Y125" s="27"/>
      <c r="Z125" s="2807">
        <v>0.04</v>
      </c>
      <c r="AA125" s="2816">
        <f>'DCA Underwriting Assumptions'!$J$108</f>
        <v>1</v>
      </c>
      <c r="AB125" s="2816">
        <f>'DCA Underwriting Assumptions'!$K$108</f>
        <v>100</v>
      </c>
      <c r="AC125" s="2809">
        <f>'DCA Underwriting Assumptions'!$Q$108</f>
        <v>20500</v>
      </c>
      <c r="AD125" s="2809">
        <f>AB125*AC125</f>
        <v>2050000</v>
      </c>
      <c r="AE125" s="2809">
        <f>IF('Part VI-Revenues &amp; Expenses'!$P$67&lt;AA126,'Part VI-Revenues &amp; Expenses'!$P$67*'Part IV-A-Uses of Funds'!AC125,AB125*AC125)</f>
        <v>1947500</v>
      </c>
      <c r="AF125" s="3662">
        <f>SUM(AE125:AE127)</f>
        <v>1947500</v>
      </c>
      <c r="AG125" s="757">
        <f>51*AC125</f>
        <v>1045500</v>
      </c>
      <c r="AI125" s="27"/>
      <c r="AZ125" s="2805"/>
      <c r="BA125" s="1773">
        <v>125</v>
      </c>
    </row>
    <row r="126" spans="1:53" s="289" customFormat="1" ht="12.6" customHeight="1" thickBot="1">
      <c r="B126" s="289" t="s">
        <v>1767</v>
      </c>
      <c r="F126" s="388">
        <f>IF($G$127=0,0,G126/$G$127)</f>
        <v>0.76200000000000001</v>
      </c>
      <c r="G126" s="3488">
        <v>1524000</v>
      </c>
      <c r="H126" s="3489"/>
      <c r="J126" s="3488">
        <f>G126</f>
        <v>1524000</v>
      </c>
      <c r="K126" s="3489"/>
      <c r="L126" s="2644"/>
      <c r="M126" s="3488"/>
      <c r="N126" s="3489"/>
      <c r="P126" s="3488"/>
      <c r="Q126" s="3489"/>
      <c r="S126" s="3488"/>
      <c r="T126" s="3489"/>
      <c r="V126" s="2797"/>
      <c r="W126" s="3620"/>
      <c r="X126" s="3621"/>
      <c r="Y126" s="27"/>
      <c r="Z126" s="80"/>
      <c r="AA126" s="2811">
        <f>'DCA Underwriting Assumptions'!$J$109</f>
        <v>101</v>
      </c>
      <c r="AB126" s="2811">
        <f>'DCA Underwriting Assumptions'!$K$109</f>
        <v>130</v>
      </c>
      <c r="AC126" s="2812">
        <f>'DCA Underwriting Assumptions'!$Q$109</f>
        <v>18500</v>
      </c>
      <c r="AD126" s="2812">
        <f>(AB126-AB125)*AC126</f>
        <v>555000</v>
      </c>
      <c r="AE126" s="281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2000000</v>
      </c>
      <c r="F127" s="338" t="s">
        <v>183</v>
      </c>
      <c r="G127" s="3658">
        <f>SUM(G122:G126)</f>
        <v>2000000</v>
      </c>
      <c r="H127" s="3703"/>
      <c r="J127" s="3658">
        <f>SUM(J122:J126)</f>
        <v>2000000</v>
      </c>
      <c r="K127" s="3703"/>
      <c r="L127" s="2644"/>
      <c r="M127" s="3658">
        <f>SUM(M122:M126)</f>
        <v>0</v>
      </c>
      <c r="N127" s="3703"/>
      <c r="P127" s="3658">
        <f>SUM(P122:P126)</f>
        <v>0</v>
      </c>
      <c r="Q127" s="3703"/>
      <c r="S127" s="3658">
        <f>SUM(S122:S126)</f>
        <v>0</v>
      </c>
      <c r="T127" s="3703"/>
      <c r="V127" s="2799">
        <f>SUM(V122:V126)</f>
        <v>0</v>
      </c>
      <c r="W127" s="3634"/>
      <c r="X127" s="3635"/>
      <c r="Y127" s="27"/>
      <c r="Z127" s="80"/>
      <c r="AA127" s="2813">
        <f>'DCA Underwriting Assumptions'!$J$110</f>
        <v>131</v>
      </c>
      <c r="AB127" s="2814"/>
      <c r="AC127" s="2815">
        <f>'DCA Underwriting Assumptions'!$Q$110</f>
        <v>14000</v>
      </c>
      <c r="AD127" s="2815">
        <f>AF131-AD126-AD125</f>
        <v>895000</v>
      </c>
      <c r="AE127" s="2815">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7"/>
      <c r="Z128" s="1390"/>
      <c r="AB128" s="2817"/>
      <c r="AC128" s="27"/>
      <c r="AD128" s="27"/>
      <c r="AF128" s="27"/>
      <c r="AG128" s="27"/>
      <c r="AH128" s="27"/>
      <c r="AI128" s="27"/>
      <c r="AJ128" s="27"/>
      <c r="AK128" s="27"/>
      <c r="AZ128" s="1808" t="s">
        <v>6700</v>
      </c>
      <c r="BA128" s="1773">
        <v>128</v>
      </c>
    </row>
    <row r="129" spans="1:53" s="289" customFormat="1" ht="12.6" customHeight="1">
      <c r="B129" s="289" t="s">
        <v>240</v>
      </c>
      <c r="G129" s="3521">
        <v>50000</v>
      </c>
      <c r="H129" s="3522"/>
      <c r="J129" s="348"/>
      <c r="K129" s="348"/>
      <c r="L129" s="348"/>
      <c r="M129" s="348"/>
      <c r="N129" s="348"/>
      <c r="P129" s="348"/>
      <c r="Q129" s="348"/>
      <c r="S129" s="3521">
        <f>G129</f>
        <v>50000</v>
      </c>
      <c r="T129" s="3522"/>
      <c r="V129" s="2797"/>
      <c r="W129" s="3632"/>
      <c r="X129" s="3633"/>
      <c r="Y129" s="1371" t="s">
        <v>4105</v>
      </c>
      <c r="Z129" s="1390"/>
      <c r="AB129" s="2817"/>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119204.75</v>
      </c>
      <c r="G130" s="3532">
        <v>124881.46093189654</v>
      </c>
      <c r="H130" s="3533"/>
      <c r="J130" s="864" t="str">
        <f>IF(E130&gt;G130,"WARNING! Rent-Up Reserves proposed is below minimum - add comment.","")</f>
        <v/>
      </c>
      <c r="K130" s="864"/>
      <c r="L130" s="2644"/>
      <c r="M130" s="838"/>
      <c r="N130" s="838"/>
      <c r="O130" s="2628"/>
      <c r="P130" s="838"/>
      <c r="Q130" s="838"/>
      <c r="R130" s="2628"/>
      <c r="S130" s="3532">
        <f>G130</f>
        <v>124881.46093189654</v>
      </c>
      <c r="T130" s="3533"/>
      <c r="V130" s="2797"/>
      <c r="W130" s="3632"/>
      <c r="X130" s="3633"/>
      <c r="Y130" s="27"/>
      <c r="Z130" s="2818">
        <v>0.09</v>
      </c>
      <c r="AB130" s="1371"/>
      <c r="AD130" s="27"/>
      <c r="AF130" s="2819">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332143.24789381528</v>
      </c>
      <c r="G131" s="3532">
        <v>343496.66975760838</v>
      </c>
      <c r="H131" s="3533"/>
      <c r="J131" s="864" t="str">
        <f>IF(E131&gt;G131,"WARNING! ODR proposed is below minimum - add comment.","")</f>
        <v/>
      </c>
      <c r="K131" s="347"/>
      <c r="L131" s="347"/>
      <c r="M131" s="347"/>
      <c r="N131" s="347"/>
      <c r="O131" s="2628"/>
      <c r="P131" s="347"/>
      <c r="Q131" s="347"/>
      <c r="R131" s="2628"/>
      <c r="S131" s="3532">
        <f t="shared" ref="S131:S132" si="6">G131</f>
        <v>343496.66975760838</v>
      </c>
      <c r="T131" s="3533"/>
      <c r="V131" s="2797"/>
      <c r="W131" s="3632"/>
      <c r="X131" s="3633"/>
      <c r="Y131" s="27"/>
      <c r="Z131" s="2818">
        <v>0.04</v>
      </c>
      <c r="AB131" s="1371"/>
      <c r="AD131" s="27"/>
      <c r="AF131" s="2819">
        <f>'DCA Underwriting Assumptions'!$Q$113</f>
        <v>3500000</v>
      </c>
      <c r="AG131" s="27"/>
      <c r="AH131" s="27"/>
      <c r="AI131" s="27"/>
      <c r="AZ131" s="1808"/>
      <c r="BA131" s="1773">
        <v>131</v>
      </c>
    </row>
    <row r="132" spans="1:53" s="289" customFormat="1" ht="12.6" customHeight="1">
      <c r="B132" s="289" t="s">
        <v>1198</v>
      </c>
      <c r="G132" s="3532"/>
      <c r="H132" s="3533"/>
      <c r="J132" s="348"/>
      <c r="K132" s="348"/>
      <c r="L132" s="348"/>
      <c r="M132" s="348"/>
      <c r="N132" s="348"/>
      <c r="P132" s="348"/>
      <c r="Q132" s="348"/>
      <c r="S132" s="3532">
        <f t="shared" si="6"/>
        <v>0</v>
      </c>
      <c r="T132" s="3533"/>
      <c r="V132" s="2797"/>
      <c r="W132" s="3632"/>
      <c r="X132" s="3633"/>
      <c r="AZ132" s="1808" t="s">
        <v>6702</v>
      </c>
      <c r="BA132" s="1773">
        <v>132</v>
      </c>
    </row>
    <row r="133" spans="1:53" s="289" customFormat="1" ht="12.6" customHeight="1">
      <c r="B133" s="289" t="s">
        <v>1199</v>
      </c>
      <c r="E133" s="753" t="s">
        <v>3258</v>
      </c>
      <c r="F133" s="438">
        <f>IF('Part VI-Revenues &amp; Expenses'!$P$67=0,0,G133/'Part VI-Revenues &amp; Expenses'!$P$67)</f>
        <v>1315.7894736842106</v>
      </c>
      <c r="G133" s="3532">
        <v>125000</v>
      </c>
      <c r="H133" s="3533"/>
      <c r="J133" s="3521">
        <f>G133</f>
        <v>125000</v>
      </c>
      <c r="K133" s="3522"/>
      <c r="L133" s="2644"/>
      <c r="M133" s="3521"/>
      <c r="N133" s="3522"/>
      <c r="P133" s="3521"/>
      <c r="Q133" s="3522"/>
      <c r="S133" s="3532"/>
      <c r="T133" s="3533"/>
      <c r="V133" s="2797"/>
      <c r="W133" s="3632"/>
      <c r="X133" s="3633"/>
      <c r="AZ133" s="1808" t="s">
        <v>6703</v>
      </c>
      <c r="BA133" s="1773">
        <v>133</v>
      </c>
    </row>
    <row r="134" spans="1:53" s="289" customFormat="1" ht="12.6" customHeight="1" thickBot="1">
      <c r="A134" s="363" t="str">
        <f>IF(AND(G134&gt;0,OR(C134="",C134="&lt;Enter detailed description here; use Comments section if needed&gt;")),"X","")</f>
        <v/>
      </c>
      <c r="B134" s="170" t="s">
        <v>6579</v>
      </c>
      <c r="C134" s="3668" t="s">
        <v>3342</v>
      </c>
      <c r="D134" s="3668"/>
      <c r="E134" s="3668"/>
      <c r="F134" s="3669"/>
      <c r="G134" s="3488"/>
      <c r="H134" s="3489"/>
      <c r="J134" s="3626"/>
      <c r="K134" s="3627"/>
      <c r="L134" s="2644"/>
      <c r="M134" s="3488"/>
      <c r="N134" s="3489"/>
      <c r="P134" s="3488"/>
      <c r="Q134" s="3489"/>
      <c r="S134" s="3488"/>
      <c r="T134" s="3489"/>
      <c r="U134" s="362" t="str">
        <f>IF(AND(G134&gt;0,OR(C134="",C134="&lt;Enter detailed description here; use Comments section if needed&gt;")),"NO DESCRIPTION PROVIDED - please enter detailed description in Other box at left; use Comments section below if needed.","")</f>
        <v/>
      </c>
      <c r="V134" s="2797"/>
      <c r="W134" s="3620"/>
      <c r="X134" s="3621"/>
      <c r="AZ134" s="1808"/>
      <c r="BA134" s="1773">
        <v>134</v>
      </c>
    </row>
    <row r="135" spans="1:53" s="289" customFormat="1" ht="12.6" customHeight="1" thickTop="1">
      <c r="B135" s="349"/>
      <c r="F135" s="338" t="s">
        <v>183</v>
      </c>
      <c r="G135" s="3658">
        <f>SUM(G129:G134)</f>
        <v>643378.13068950491</v>
      </c>
      <c r="H135" s="3659"/>
      <c r="J135" s="3658">
        <f>SUM(J133:J134)</f>
        <v>125000</v>
      </c>
      <c r="K135" s="3659"/>
      <c r="L135" s="2644"/>
      <c r="M135" s="3658">
        <f>SUM(M133:M134)</f>
        <v>0</v>
      </c>
      <c r="N135" s="3659"/>
      <c r="P135" s="3658">
        <f>SUM(P133:P134)</f>
        <v>0</v>
      </c>
      <c r="Q135" s="3659"/>
      <c r="S135" s="3658">
        <f>SUM(S129:S134)</f>
        <v>518378.13068950491</v>
      </c>
      <c r="T135" s="3659"/>
      <c r="V135" s="2799">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21">
        <v>332666</v>
      </c>
      <c r="H142" s="3522"/>
      <c r="J142" s="3521">
        <v>83167</v>
      </c>
      <c r="K142" s="3522"/>
      <c r="L142" s="339"/>
      <c r="M142" s="3521"/>
      <c r="N142" s="3522"/>
      <c r="P142" s="3521"/>
      <c r="Q142" s="3522"/>
      <c r="S142" s="3521">
        <f>G142-J142</f>
        <v>249499</v>
      </c>
      <c r="T142" s="3522"/>
      <c r="V142" s="2797"/>
      <c r="W142" s="3632"/>
      <c r="X142" s="3633"/>
      <c r="AZ142" s="1808"/>
      <c r="BA142" s="1773">
        <v>137</v>
      </c>
    </row>
    <row r="143" spans="1:53" s="289" customFormat="1" ht="12.6" customHeight="1" thickBot="1">
      <c r="A143" s="363" t="str">
        <f>IF(AND(G143&gt;0,OR(C143="",C143="&lt;Enter detailed description here; use Comments section if needed&gt;")),"X","")</f>
        <v/>
      </c>
      <c r="B143" s="170" t="s">
        <v>6579</v>
      </c>
      <c r="C143" s="3668" t="s">
        <v>3342</v>
      </c>
      <c r="D143" s="3668"/>
      <c r="E143" s="3668"/>
      <c r="F143" s="3669"/>
      <c r="G143" s="3488"/>
      <c r="H143" s="3489"/>
      <c r="J143" s="3488"/>
      <c r="K143" s="3489"/>
      <c r="L143" s="2644"/>
      <c r="M143" s="3488"/>
      <c r="N143" s="3489"/>
      <c r="P143" s="3488"/>
      <c r="Q143" s="3489"/>
      <c r="S143" s="3488"/>
      <c r="T143" s="3489"/>
      <c r="U143" s="362" t="str">
        <f>IF(AND(G143&gt;0,OR(C143="",C143="&lt;Enter detailed description here; use Comments section if needed&gt;")),"NO DESCRIPTION PROVIDED - please enter detailed description in Other box at left; use Comments section below if needed.","")</f>
        <v/>
      </c>
      <c r="V143" s="2797"/>
      <c r="W143" s="3620"/>
      <c r="X143" s="3621"/>
      <c r="AZ143" s="1808"/>
      <c r="BA143" s="1773">
        <v>138</v>
      </c>
    </row>
    <row r="144" spans="1:53" s="289" customFormat="1" ht="12.6" customHeight="1" thickTop="1">
      <c r="C144" s="2620"/>
      <c r="F144" s="338" t="s">
        <v>183</v>
      </c>
      <c r="G144" s="3658">
        <f>SUM(G142:G143)</f>
        <v>332666</v>
      </c>
      <c r="H144" s="3659"/>
      <c r="J144" s="3658">
        <f>SUM(J142:J143)</f>
        <v>83167</v>
      </c>
      <c r="K144" s="3659"/>
      <c r="L144" s="2644"/>
      <c r="M144" s="3658">
        <f>SUM(M142:M143)</f>
        <v>0</v>
      </c>
      <c r="N144" s="3659"/>
      <c r="P144" s="3658">
        <f>SUM(P142:P143)</f>
        <v>0</v>
      </c>
      <c r="Q144" s="3659"/>
      <c r="S144" s="3658">
        <f>SUM(S142:S143)</f>
        <v>249499</v>
      </c>
      <c r="T144" s="3659"/>
      <c r="V144" s="2799">
        <f>SUM(V142:V143)</f>
        <v>0</v>
      </c>
      <c r="W144" s="3634"/>
      <c r="X144" s="3635"/>
      <c r="AZ144" s="1808"/>
      <c r="BA144" s="1773">
        <v>139</v>
      </c>
    </row>
    <row r="145" spans="1:53" s="289" customFormat="1" ht="15" customHeight="1" thickBot="1">
      <c r="C145" s="2620"/>
      <c r="H145" s="345"/>
      <c r="I145" s="345"/>
      <c r="L145" s="2628"/>
      <c r="V145" s="935"/>
      <c r="W145" s="2820"/>
      <c r="X145" s="2821"/>
      <c r="AZ145" s="1808"/>
      <c r="BA145" s="1773">
        <v>140</v>
      </c>
    </row>
    <row r="146" spans="1:53" s="289" customFormat="1" ht="18.75" customHeight="1" thickBot="1">
      <c r="B146" s="1782" t="s">
        <v>6815</v>
      </c>
      <c r="E146" s="753"/>
      <c r="F146" s="1394"/>
      <c r="G146" s="3704">
        <f>G18+G24+G28+G36+G41+G46+G55+G73+G86+G92+G103+G114+G120+G127+G135+G144</f>
        <v>18857416.83068594</v>
      </c>
      <c r="H146" s="3705"/>
      <c r="J146" s="3704">
        <f>J18+J24+J28+J36+J41+J46+J55+J73+J86+J92+J103+J114+J120+J127+J135+J144</f>
        <v>16463128.724996436</v>
      </c>
      <c r="K146" s="3705"/>
      <c r="M146" s="3704">
        <f>M18+M24+M28+M36+M41+M46+M55+M73+M86+M92+M103+M114+M120+M127+M135+M144</f>
        <v>0</v>
      </c>
      <c r="N146" s="3705"/>
      <c r="P146" s="3704">
        <f>P18+P24+P28+P36+P41+P46+P55+P73+P86+P92+P103+P114+P120+P127+P135+P144</f>
        <v>0</v>
      </c>
      <c r="Q146" s="3705"/>
      <c r="S146" s="3704">
        <f>S18+S24+S28+S36+S41+S46+S55+S73+S86+S92+S103+S114+S120+S127+S135+S144</f>
        <v>2394288.1056895051</v>
      </c>
      <c r="T146" s="3705"/>
      <c r="V146" s="2822">
        <f>V18+V24+V28+V36+V41+V46+V55+V73+V86+V92+V103+V114+V120+V127+V135+V144</f>
        <v>0</v>
      </c>
      <c r="W146" s="3706"/>
      <c r="X146" s="3635"/>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711">
        <f>IF('Part VI-Revenues &amp; Expenses'!$P$67=0,0,G146/'Part VI-Revenues &amp; Expenses'!$P$67)</f>
        <v>198499.1245335362</v>
      </c>
      <c r="E148" s="3711"/>
      <c r="F148" s="471" t="s">
        <v>2593</v>
      </c>
      <c r="G148" s="3712">
        <f>IF('Part I-Project Information'!$P$70=0,0,G146/'Part I-Project Information'!$P$70)</f>
        <v>241.29772016232809</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4"/>
      <c r="E151" s="2644"/>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714">
        <v>0</v>
      </c>
      <c r="K153" s="3715"/>
      <c r="P153" s="3714"/>
      <c r="Q153" s="3715"/>
      <c r="V153" s="2797"/>
      <c r="W153" s="3632"/>
      <c r="X153" s="3633"/>
      <c r="AZ153" s="1808"/>
      <c r="BA153" s="1808"/>
    </row>
    <row r="154" spans="1:53" s="289" customFormat="1" ht="14.1" customHeight="1">
      <c r="B154" s="2628" t="s">
        <v>2058</v>
      </c>
      <c r="D154" s="2628"/>
      <c r="E154" s="2628"/>
      <c r="F154" s="2628"/>
      <c r="G154" s="2628"/>
      <c r="H154" s="2628"/>
      <c r="I154" s="352"/>
      <c r="J154" s="3707">
        <v>0</v>
      </c>
      <c r="K154" s="3708"/>
      <c r="P154" s="3707"/>
      <c r="Q154" s="3708"/>
      <c r="V154" s="2797"/>
      <c r="W154" s="3632"/>
      <c r="X154" s="3633"/>
      <c r="AZ154" s="1808"/>
      <c r="BA154" s="1808"/>
    </row>
    <row r="155" spans="1:53" s="289" customFormat="1" ht="14.1" customHeight="1">
      <c r="B155" s="2628" t="s">
        <v>1777</v>
      </c>
      <c r="D155" s="2628"/>
      <c r="E155" s="2628"/>
      <c r="I155" s="352"/>
      <c r="J155" s="3707">
        <v>0</v>
      </c>
      <c r="K155" s="3708"/>
      <c r="P155" s="3707"/>
      <c r="Q155" s="3708"/>
      <c r="V155" s="2797"/>
      <c r="W155" s="3632"/>
      <c r="X155" s="3633"/>
      <c r="AZ155" s="1808"/>
      <c r="BA155" s="1808"/>
    </row>
    <row r="156" spans="1:53" s="289" customFormat="1" ht="14.1" customHeight="1">
      <c r="B156" s="2628" t="s">
        <v>1778</v>
      </c>
      <c r="D156" s="2628"/>
      <c r="E156" s="2628"/>
      <c r="I156" s="352"/>
      <c r="J156" s="3707">
        <v>0</v>
      </c>
      <c r="K156" s="3708"/>
      <c r="P156" s="3707"/>
      <c r="Q156" s="3708"/>
      <c r="V156" s="2797"/>
      <c r="W156" s="3632"/>
      <c r="X156" s="3633"/>
      <c r="AZ156" s="1808"/>
      <c r="BA156" s="1808"/>
    </row>
    <row r="157" spans="1:53" s="289" customFormat="1" ht="14.1" customHeight="1">
      <c r="B157" s="2628" t="s">
        <v>243</v>
      </c>
      <c r="D157" s="2628"/>
      <c r="E157" s="2628"/>
      <c r="I157" s="352"/>
      <c r="J157" s="3707">
        <v>0</v>
      </c>
      <c r="K157" s="3708"/>
      <c r="P157" s="3707"/>
      <c r="Q157" s="3708"/>
      <c r="V157" s="2797"/>
      <c r="W157" s="3632"/>
      <c r="X157" s="3633"/>
      <c r="AZ157" s="1808"/>
      <c r="BA157" s="1808"/>
    </row>
    <row r="158" spans="1:53" s="289" customFormat="1" ht="14.1" customHeight="1" thickBot="1">
      <c r="B158" s="2628" t="s">
        <v>1535</v>
      </c>
      <c r="C158" s="3709" t="s">
        <v>2305</v>
      </c>
      <c r="D158" s="3709"/>
      <c r="E158" s="3709"/>
      <c r="F158" s="3709"/>
      <c r="G158" s="3709"/>
      <c r="H158" s="3709"/>
      <c r="I158" s="3710"/>
      <c r="J158" s="3652">
        <v>0</v>
      </c>
      <c r="K158" s="3653"/>
      <c r="P158" s="3652"/>
      <c r="Q158" s="3653"/>
      <c r="V158" s="2797"/>
      <c r="W158" s="3620"/>
      <c r="X158" s="3621"/>
      <c r="AZ158" s="1808"/>
      <c r="BA158" s="1808"/>
    </row>
    <row r="159" spans="1:53" s="289" customFormat="1" ht="14.1" customHeight="1" thickBot="1">
      <c r="B159" s="299" t="s">
        <v>1779</v>
      </c>
      <c r="C159" s="302"/>
      <c r="J159" s="3606">
        <f>SUM(J153:K158)</f>
        <v>0</v>
      </c>
      <c r="K159" s="3607"/>
      <c r="P159" s="3606">
        <f>SUM(P153:Q158)</f>
        <v>0</v>
      </c>
      <c r="Q159" s="3607"/>
      <c r="V159" s="2799">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16463128.724996436</v>
      </c>
      <c r="K162" s="3655"/>
      <c r="M162" s="3656">
        <f>M146</f>
        <v>0</v>
      </c>
      <c r="N162" s="3657"/>
      <c r="P162" s="3654">
        <f>P146</f>
        <v>0</v>
      </c>
      <c r="Q162" s="3655"/>
      <c r="R162" s="3755" t="s">
        <v>3930</v>
      </c>
      <c r="S162" s="3756"/>
      <c r="T162" s="3756"/>
      <c r="V162" s="2797"/>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7"/>
      <c r="W163" s="3632"/>
      <c r="X163" s="3633"/>
      <c r="AZ163" s="1808"/>
      <c r="BA163" s="1808"/>
    </row>
    <row r="164" spans="1:53" s="289" customFormat="1" ht="14.1" customHeight="1">
      <c r="B164" s="289" t="s">
        <v>2120</v>
      </c>
      <c r="J164" s="3628">
        <f>J162-J163</f>
        <v>16463128.724996436</v>
      </c>
      <c r="K164" s="3629"/>
      <c r="M164" s="3628">
        <f>M162</f>
        <v>0</v>
      </c>
      <c r="N164" s="3629"/>
      <c r="P164" s="3628">
        <f>P162-P163</f>
        <v>0</v>
      </c>
      <c r="Q164" s="3629"/>
      <c r="R164" s="3755"/>
      <c r="S164" s="3756"/>
      <c r="T164" s="3756"/>
      <c r="U164" s="1249"/>
      <c r="V164" s="2797"/>
      <c r="W164" s="3632"/>
      <c r="X164" s="3633"/>
      <c r="AZ164" s="1808"/>
      <c r="BA164" s="1808"/>
    </row>
    <row r="165" spans="1:53" s="289" customFormat="1" ht="14.1" customHeight="1">
      <c r="B165" s="289" t="s">
        <v>1426</v>
      </c>
      <c r="G165" s="2623" t="s">
        <v>1637</v>
      </c>
      <c r="H165" s="3143" t="s">
        <v>1691</v>
      </c>
      <c r="I165" s="3144"/>
      <c r="J165" s="3630">
        <v>1</v>
      </c>
      <c r="K165" s="3631"/>
      <c r="M165" s="3716"/>
      <c r="N165" s="3716"/>
      <c r="P165" s="3630"/>
      <c r="Q165" s="3631"/>
      <c r="R165" s="3757" t="s">
        <v>3333</v>
      </c>
      <c r="S165" s="3758"/>
      <c r="T165" s="3759"/>
      <c r="U165" s="1250"/>
      <c r="V165" s="2797"/>
      <c r="W165" s="3632"/>
      <c r="X165" s="3633"/>
      <c r="AZ165" s="1808"/>
      <c r="BA165" s="1808"/>
    </row>
    <row r="166" spans="1:53" s="289" customFormat="1" ht="14.1" customHeight="1">
      <c r="B166" s="289" t="s">
        <v>1962</v>
      </c>
      <c r="J166" s="3628">
        <f>J164*J165</f>
        <v>16463128.724996436</v>
      </c>
      <c r="K166" s="3629"/>
      <c r="M166" s="3628">
        <f>+M164</f>
        <v>0</v>
      </c>
      <c r="N166" s="3629"/>
      <c r="P166" s="3628">
        <f>P164*P165</f>
        <v>0</v>
      </c>
      <c r="Q166" s="3629"/>
      <c r="R166" s="3760"/>
      <c r="S166" s="3761"/>
      <c r="T166" s="3762"/>
      <c r="U166" s="1250"/>
      <c r="V166" s="2797"/>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7"/>
      <c r="W167" s="3632"/>
      <c r="X167" s="3633"/>
      <c r="AZ167" s="1808"/>
      <c r="BA167" s="1808"/>
    </row>
    <row r="168" spans="1:53" s="289" customFormat="1" ht="14.1" customHeight="1">
      <c r="B168" s="289" t="s">
        <v>1953</v>
      </c>
      <c r="J168" s="3628">
        <f>J166*J167</f>
        <v>16463128.724996436</v>
      </c>
      <c r="K168" s="3629"/>
      <c r="M168" s="3628">
        <f>M166*M167</f>
        <v>0</v>
      </c>
      <c r="N168" s="3629"/>
      <c r="P168" s="3628">
        <f>P166*P167</f>
        <v>0</v>
      </c>
      <c r="Q168" s="3629"/>
      <c r="V168" s="2797"/>
      <c r="W168" s="3632"/>
      <c r="X168" s="3633"/>
      <c r="AZ168" s="1808"/>
      <c r="BA168" s="1808"/>
    </row>
    <row r="169" spans="1:53" s="289" customFormat="1" ht="14.1" customHeight="1">
      <c r="B169" s="289" t="s">
        <v>1954</v>
      </c>
      <c r="J169" s="3630">
        <v>0.09</v>
      </c>
      <c r="K169" s="3631"/>
      <c r="M169" s="3630"/>
      <c r="N169" s="3631"/>
      <c r="P169" s="3630"/>
      <c r="Q169" s="3631"/>
      <c r="V169" s="2797"/>
      <c r="W169" s="3632"/>
      <c r="X169" s="3633"/>
      <c r="AZ169" s="1808"/>
      <c r="BA169" s="1808"/>
    </row>
    <row r="170" spans="1:53" s="289" customFormat="1" ht="14.1" customHeight="1" thickBot="1">
      <c r="B170" s="289" t="s">
        <v>2424</v>
      </c>
      <c r="J170" s="3719">
        <f>J168*J169</f>
        <v>1481681.5852496792</v>
      </c>
      <c r="K170" s="3720"/>
      <c r="M170" s="3719">
        <f>M168*M169</f>
        <v>0</v>
      </c>
      <c r="N170" s="3720"/>
      <c r="P170" s="3719">
        <f>P168*P169</f>
        <v>0</v>
      </c>
      <c r="Q170" s="3720"/>
      <c r="V170" s="2823"/>
      <c r="W170" s="3620"/>
      <c r="X170" s="3621"/>
      <c r="AZ170" s="1808"/>
      <c r="BA170" s="1808"/>
    </row>
    <row r="171" spans="1:53" s="289" customFormat="1" ht="14.1" customHeight="1" thickBot="1">
      <c r="B171" s="291" t="s">
        <v>1373</v>
      </c>
      <c r="J171" s="3606">
        <f>ROUNDDOWN(J170+M170+P170,0)</f>
        <v>1481681</v>
      </c>
      <c r="K171" s="3638"/>
      <c r="L171" s="3638"/>
      <c r="M171" s="3638"/>
      <c r="N171" s="3638"/>
      <c r="O171" s="3638"/>
      <c r="P171" s="3638"/>
      <c r="Q171" s="3607"/>
      <c r="V171" s="2799"/>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4"/>
      <c r="I174" s="2824"/>
      <c r="M174" s="509"/>
      <c r="O174" s="3622"/>
      <c r="P174" s="3622"/>
      <c r="Q174" s="3622"/>
      <c r="R174" s="3622"/>
      <c r="S174" s="3622"/>
      <c r="T174" s="3622"/>
      <c r="U174" s="3622"/>
      <c r="V174" s="3622"/>
      <c r="AZ174" s="1808"/>
      <c r="BA174" s="1808"/>
    </row>
    <row r="175" spans="1:53" s="166" customFormat="1" ht="14.1" customHeight="1">
      <c r="B175" s="2800" t="s">
        <v>4126</v>
      </c>
      <c r="H175" s="2824"/>
      <c r="I175" s="2824"/>
      <c r="M175" s="509"/>
      <c r="O175" s="2825"/>
      <c r="P175" s="2825"/>
      <c r="Q175" s="2825"/>
      <c r="R175" s="2825"/>
      <c r="S175" s="2825"/>
      <c r="T175" s="2825"/>
      <c r="U175" s="2825"/>
      <c r="V175" s="2825"/>
      <c r="AZ175" s="1808"/>
      <c r="BA175" s="1808"/>
    </row>
    <row r="176" spans="1:53" s="166" customFormat="1" ht="15" customHeight="1">
      <c r="B176" s="166" t="s">
        <v>4128</v>
      </c>
      <c r="J176" s="3623">
        <f>G146</f>
        <v>18857416.83068594</v>
      </c>
      <c r="K176" s="3624"/>
      <c r="L176" s="3625"/>
      <c r="V176" s="2826"/>
      <c r="W176" s="2827"/>
      <c r="AZ176" s="1808"/>
      <c r="BA176" s="1808"/>
    </row>
    <row r="177" spans="1:53" s="166" customFormat="1" ht="13.5" customHeight="1">
      <c r="B177" s="166" t="s">
        <v>4130</v>
      </c>
      <c r="J177" s="3623">
        <f>'Part IV-A-Uses of Funds'!$G$92+'Part IV-A-Uses of Funds'!$G$114+SUM('Part IV-A-Uses of Funds'!$G$130:$H$132)</f>
        <v>1206503.630689505</v>
      </c>
      <c r="K177" s="3624"/>
      <c r="L177" s="3625"/>
      <c r="V177" s="2826"/>
      <c r="W177" s="2827"/>
      <c r="AZ177" s="1808"/>
      <c r="BA177" s="1808"/>
    </row>
    <row r="178" spans="1:53" s="166" customFormat="1" ht="13.5" customHeight="1">
      <c r="B178" s="2732" t="s">
        <v>4129</v>
      </c>
      <c r="J178" s="3623">
        <f>J176-J177</f>
        <v>17650913.199996434</v>
      </c>
      <c r="K178" s="3624"/>
      <c r="L178" s="3625"/>
      <c r="M178" s="3753" t="str">
        <f>IF(J178&lt;=J179, "","Exceeds Project Cost Limit!   Needs Cost Limit waiver.")</f>
        <v/>
      </c>
      <c r="N178" s="3753"/>
      <c r="O178" s="3753"/>
      <c r="P178" s="3753"/>
      <c r="Q178" s="3753"/>
      <c r="R178" s="3753"/>
      <c r="S178" s="3753"/>
      <c r="T178" s="3753"/>
      <c r="V178" s="2826"/>
      <c r="W178" s="2827"/>
      <c r="AZ178" s="1808"/>
      <c r="BA178" s="1808"/>
    </row>
    <row r="179" spans="1:53" s="166" customFormat="1" ht="13.5" customHeight="1">
      <c r="B179" s="2828" t="s">
        <v>2597</v>
      </c>
      <c r="C179" s="2732"/>
      <c r="D179" s="2732"/>
      <c r="J179" s="3623">
        <f>'Part VIII-Threshold Criteria'!$P$63</f>
        <v>21140766.649999999</v>
      </c>
      <c r="K179" s="3624"/>
      <c r="L179" s="3625"/>
      <c r="V179" s="2826"/>
      <c r="W179" s="2827"/>
      <c r="AZ179" s="1808"/>
      <c r="BA179" s="1808"/>
    </row>
    <row r="180" spans="1:53" s="166" customFormat="1" ht="3" customHeight="1">
      <c r="B180" s="2828"/>
      <c r="C180" s="2732"/>
      <c r="D180" s="2732"/>
      <c r="J180" s="2829"/>
      <c r="K180" s="2829"/>
      <c r="L180" s="2829"/>
      <c r="V180" s="2826"/>
      <c r="W180" s="2827"/>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4131</v>
      </c>
      <c r="J182" s="3733">
        <f>MIN(J176,J179+J177)</f>
        <v>18857416.83068594</v>
      </c>
      <c r="K182" s="3734"/>
      <c r="L182" s="3735"/>
      <c r="M182" s="3729" t="s">
        <v>4142</v>
      </c>
      <c r="N182" s="3746"/>
      <c r="O182" s="3746"/>
      <c r="P182" s="3746"/>
      <c r="Q182" s="3746"/>
      <c r="R182" s="3730"/>
      <c r="S182" s="3729" t="s">
        <v>3313</v>
      </c>
      <c r="T182" s="3730"/>
      <c r="V182" s="2797"/>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3000000</v>
      </c>
      <c r="K183" s="3639"/>
      <c r="L183" s="3736"/>
      <c r="M183" s="3731"/>
      <c r="N183" s="3747"/>
      <c r="O183" s="3747"/>
      <c r="P183" s="3747"/>
      <c r="Q183" s="3747"/>
      <c r="R183" s="3732"/>
      <c r="S183" s="3731"/>
      <c r="T183" s="3732"/>
      <c r="V183" s="2797"/>
      <c r="W183" s="3632"/>
      <c r="X183" s="3633"/>
      <c r="AZ183" s="1808"/>
      <c r="BA183" s="1808"/>
    </row>
    <row r="184" spans="1:53" s="289" customFormat="1" ht="14.1" customHeight="1">
      <c r="B184" s="289" t="s">
        <v>2131</v>
      </c>
      <c r="J184" s="3628">
        <f>+J182-J183</f>
        <v>15857416.83068594</v>
      </c>
      <c r="K184" s="3639"/>
      <c r="L184" s="3736"/>
      <c r="M184" s="3731"/>
      <c r="N184" s="3747"/>
      <c r="O184" s="3747"/>
      <c r="P184" s="3747"/>
      <c r="Q184" s="3747"/>
      <c r="R184" s="3732"/>
      <c r="S184" s="3731"/>
      <c r="T184" s="3732"/>
      <c r="V184" s="2797"/>
      <c r="W184" s="3632"/>
      <c r="X184" s="3633"/>
      <c r="AZ184" s="1808"/>
      <c r="BA184" s="1808"/>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0"/>
      <c r="V185" s="2797"/>
      <c r="W185" s="3632"/>
      <c r="X185" s="3633"/>
      <c r="AZ185" s="1808"/>
      <c r="BA185" s="1808"/>
    </row>
    <row r="186" spans="1:53" s="289" customFormat="1" ht="14.1" customHeight="1">
      <c r="B186" s="289" t="s">
        <v>1239</v>
      </c>
      <c r="J186" s="3628">
        <f>J184/10</f>
        <v>1585741.683068594</v>
      </c>
      <c r="K186" s="3639"/>
      <c r="L186" s="3629"/>
      <c r="M186" s="2628"/>
      <c r="N186" s="448"/>
      <c r="O186" s="448"/>
      <c r="P186" s="448"/>
      <c r="Q186" s="448"/>
      <c r="R186" s="448"/>
      <c r="V186" s="935"/>
      <c r="W186" s="3632"/>
      <c r="X186" s="3633"/>
      <c r="AZ186" s="1808"/>
      <c r="BA186" s="1808"/>
    </row>
    <row r="187" spans="1:53" s="289" customFormat="1" ht="14.1" customHeight="1">
      <c r="M187" s="307"/>
      <c r="N187" s="3200" t="s">
        <v>1240</v>
      </c>
      <c r="O187" s="3200"/>
      <c r="Q187" s="3200" t="s">
        <v>1717</v>
      </c>
      <c r="R187" s="3200"/>
      <c r="V187" s="2797"/>
      <c r="W187" s="3632"/>
      <c r="X187" s="3633"/>
      <c r="AZ187" s="1808"/>
      <c r="BA187" s="1808"/>
    </row>
    <row r="188" spans="1:53" s="289" customFormat="1" ht="14.1" customHeight="1" thickBot="1">
      <c r="B188" s="289" t="s">
        <v>1425</v>
      </c>
      <c r="J188" s="3721">
        <f>N188+Q188</f>
        <v>1.5499999999999998</v>
      </c>
      <c r="K188" s="3722"/>
      <c r="L188" s="3723"/>
      <c r="M188" s="2623" t="s">
        <v>1241</v>
      </c>
      <c r="N188" s="3724">
        <v>0.95</v>
      </c>
      <c r="O188" s="3725"/>
      <c r="P188" s="2623" t="s">
        <v>583</v>
      </c>
      <c r="Q188" s="3724">
        <v>0.6</v>
      </c>
      <c r="R188" s="3725"/>
      <c r="V188" s="2797"/>
      <c r="W188" s="3632"/>
      <c r="X188" s="3633"/>
      <c r="AZ188" s="1808"/>
      <c r="BA188" s="1808"/>
    </row>
    <row r="189" spans="1:53" s="289" customFormat="1" ht="14.1" customHeight="1" thickBot="1">
      <c r="B189" s="291" t="s">
        <v>1374</v>
      </c>
      <c r="J189" s="3606">
        <f>ROUNDDOWN(IF(J188=0,"",J186/J188),0)</f>
        <v>1023059</v>
      </c>
      <c r="K189" s="3638"/>
      <c r="L189" s="3607"/>
      <c r="M189" s="307"/>
      <c r="N189" s="2628"/>
      <c r="O189" s="2628"/>
      <c r="V189" s="2797"/>
      <c r="W189" s="3632"/>
      <c r="X189" s="3633"/>
      <c r="AZ189" s="1808"/>
      <c r="BA189" s="1808"/>
    </row>
    <row r="190" spans="1:53" s="289" customFormat="1" ht="6" customHeight="1">
      <c r="J190" s="355"/>
      <c r="K190" s="355"/>
      <c r="L190" s="355"/>
      <c r="M190" s="307"/>
      <c r="N190" s="2629"/>
      <c r="O190" s="2629"/>
      <c r="V190" s="935"/>
      <c r="W190" s="2831"/>
      <c r="X190" s="2831"/>
      <c r="AZ190" s="1808"/>
      <c r="BA190" s="1808"/>
    </row>
    <row r="191" spans="1:53" s="289" customFormat="1" ht="14.1" customHeight="1">
      <c r="A191" s="411" t="s">
        <v>1711</v>
      </c>
      <c r="B191" s="411" t="s">
        <v>4127</v>
      </c>
      <c r="H191" s="345"/>
      <c r="I191" s="345"/>
      <c r="L191" s="2628"/>
      <c r="M191" s="450"/>
      <c r="N191" s="2628"/>
      <c r="O191" s="2628"/>
      <c r="P191" s="2628"/>
      <c r="Q191" s="1728" t="s">
        <v>6538</v>
      </c>
      <c r="R191" s="170"/>
      <c r="S191" s="3616" t="str">
        <f>'Part I-Project Information'!$H$105</f>
        <v>Atlanta Metro</v>
      </c>
      <c r="T191" s="3617"/>
      <c r="V191" s="935"/>
      <c r="AZ191" s="1808"/>
      <c r="BA191" s="1808"/>
    </row>
    <row r="192" spans="1:53" s="166" customFormat="1" ht="3" customHeight="1">
      <c r="H192" s="2824"/>
      <c r="I192" s="2824"/>
      <c r="M192" s="509"/>
      <c r="O192" s="2832"/>
      <c r="P192" s="2832"/>
      <c r="Q192" s="2580"/>
      <c r="R192" s="2580"/>
      <c r="S192" s="2833"/>
      <c r="T192" s="2833"/>
      <c r="U192" s="2832"/>
      <c r="V192" s="2832"/>
      <c r="AZ192" s="1809"/>
      <c r="BA192" s="1808"/>
    </row>
    <row r="193" spans="1:53" s="289" customFormat="1" ht="16.350000000000001" customHeight="1">
      <c r="B193" s="291" t="s">
        <v>6540</v>
      </c>
      <c r="J193" s="3726">
        <f>ROUNDDOWN(MIN(1000000,J189,J171),0)</f>
        <v>1000000</v>
      </c>
      <c r="K193" s="3727"/>
      <c r="L193" s="3728"/>
      <c r="M193" s="307"/>
      <c r="Q193" s="279" t="s">
        <v>367</v>
      </c>
      <c r="R193" s="465"/>
      <c r="S193" s="3614" t="str">
        <f>'Part IX Scoring Criteria'!$M$43</f>
        <v>New Supply</v>
      </c>
      <c r="T193" s="3615"/>
      <c r="U193" s="1704" t="str">
        <f>IF(OR(S191="Atlanta Metro", "Other Metro"), "Metro", IF(S191="Rural","Rural",""))</f>
        <v>Metro</v>
      </c>
      <c r="V193" s="2797"/>
      <c r="W193" s="3632"/>
      <c r="X193" s="3633"/>
      <c r="AZ193" s="1809"/>
      <c r="BA193" s="1808"/>
    </row>
    <row r="194" spans="1:53" s="289" customFormat="1" ht="3" customHeight="1">
      <c r="J194" s="355"/>
      <c r="K194" s="355"/>
      <c r="L194" s="355"/>
      <c r="M194" s="307"/>
      <c r="N194" s="2629"/>
      <c r="O194" s="2629"/>
      <c r="Q194" s="170"/>
      <c r="R194" s="170"/>
      <c r="S194" s="2637"/>
      <c r="T194" s="2637"/>
      <c r="V194" s="935"/>
      <c r="W194" s="2820"/>
      <c r="X194" s="2821"/>
      <c r="AZ194" s="1809"/>
      <c r="BA194" s="1808"/>
    </row>
    <row r="195" spans="1:53" s="289" customFormat="1" ht="16.350000000000001" customHeight="1">
      <c r="B195" s="291" t="s">
        <v>4280</v>
      </c>
      <c r="J195" s="3726">
        <v>1000000</v>
      </c>
      <c r="K195" s="3727"/>
      <c r="L195" s="3728"/>
      <c r="M195" s="3613" t="str">
        <f>IF(J193=0,"",IF(J195&gt;J193,"Request can't exceed Maximum - REVISE (Try Round Down)!",""))</f>
        <v/>
      </c>
      <c r="N195" s="3613"/>
      <c r="O195" s="3613"/>
      <c r="P195" s="3613"/>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7"/>
      <c r="W195" s="3632"/>
      <c r="X195" s="3633"/>
      <c r="AZ195" s="1809"/>
      <c r="BA195" s="1808"/>
    </row>
    <row r="196" spans="1:53" s="289" customFormat="1" ht="3" customHeight="1">
      <c r="J196" s="355"/>
      <c r="K196" s="355"/>
      <c r="L196" s="355"/>
      <c r="M196" s="3613"/>
      <c r="N196" s="3613"/>
      <c r="O196" s="3613"/>
      <c r="P196" s="3613"/>
      <c r="Q196" s="170"/>
      <c r="R196" s="465"/>
      <c r="S196" s="2638"/>
      <c r="T196" s="2638"/>
      <c r="V196" s="935"/>
      <c r="W196" s="2820"/>
      <c r="X196" s="2821"/>
      <c r="AZ196" s="1809"/>
      <c r="BA196" s="1808"/>
    </row>
    <row r="197" spans="1:53" s="289" customFormat="1" ht="16.350000000000001" customHeight="1">
      <c r="A197" s="411"/>
      <c r="B197" s="411" t="s">
        <v>4281</v>
      </c>
      <c r="D197" s="307"/>
      <c r="E197" s="307"/>
      <c r="F197" s="2621"/>
      <c r="J197" s="3742">
        <f>IF(J195="",0,+MIN(J193,J195))</f>
        <v>1000000</v>
      </c>
      <c r="K197" s="3743"/>
      <c r="L197" s="3744"/>
      <c r="M197" s="3613"/>
      <c r="N197" s="3613"/>
      <c r="O197" s="3613"/>
      <c r="P197" s="3613"/>
      <c r="Q197" s="3618" t="s">
        <v>6539</v>
      </c>
      <c r="R197" s="3619"/>
      <c r="S197" s="1731" t="str">
        <f>IF('Part I-Project Information'!$P$101="","",IF('Part I-Project Information'!$P$101="Yes","Yes","No"))</f>
        <v>No</v>
      </c>
      <c r="T197" s="1266"/>
      <c r="V197" s="2797"/>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96" t="s">
        <v>7009</v>
      </c>
      <c r="B201" s="3596"/>
      <c r="C201" s="3596"/>
      <c r="D201" s="3596"/>
      <c r="E201" s="3596"/>
      <c r="F201" s="3596"/>
      <c r="G201" s="3596"/>
      <c r="H201" s="3596"/>
      <c r="I201" s="3596"/>
      <c r="J201" s="3596"/>
      <c r="K201" s="3596"/>
      <c r="L201" s="3596"/>
      <c r="M201" s="3596"/>
      <c r="N201" s="3745"/>
      <c r="O201" s="3745"/>
      <c r="P201" s="3745"/>
      <c r="Q201" s="3745"/>
      <c r="R201" s="3745"/>
      <c r="S201" s="3745"/>
      <c r="T201" s="3745"/>
      <c r="V201" s="842"/>
      <c r="W201" s="3594" t="s">
        <v>2542</v>
      </c>
      <c r="X201" s="3594"/>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0Y/yPNqzzfOft82+AuLKCZeHM1wyHmZSd1gsTI4Z3/aIbFcOKJCAPgU3uR9nsGKyNq6zOEC3cWi+CKT1OVc+AA==" saltValue="HuW4Y0uor422YQLtMBfO+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1" priority="11" stopIfTrue="1" operator="greaterThan">
      <formula>$J$193</formula>
    </cfRule>
  </conditionalFormatting>
  <conditionalFormatting sqref="G37">
    <cfRule type="cellIs" priority="12" stopIfTrue="1" operator="equal">
      <formula>"""Exceeds the limit! Re-check amounts."""</formula>
    </cfRule>
  </conditionalFormatting>
  <conditionalFormatting sqref="J38:K38 M38:N38 P38:Q38">
    <cfRule type="cellIs" dxfId="90" priority="10" operator="greaterThan">
      <formula>$G$38</formula>
    </cfRule>
  </conditionalFormatting>
  <conditionalFormatting sqref="M39:N40 P39:Q40">
    <cfRule type="cellIs" dxfId="89" priority="9" operator="greaterThan">
      <formula>$G$40</formula>
    </cfRule>
  </conditionalFormatting>
  <conditionalFormatting sqref="G38">
    <cfRule type="cellIs" dxfId="88" priority="13" stopIfTrue="1" operator="greaterThan">
      <formula>$E38</formula>
    </cfRule>
  </conditionalFormatting>
  <conditionalFormatting sqref="G39">
    <cfRule type="cellIs" dxfId="87" priority="14" stopIfTrue="1" operator="greaterThan">
      <formula>$E$39</formula>
    </cfRule>
  </conditionalFormatting>
  <conditionalFormatting sqref="G40">
    <cfRule type="cellIs" dxfId="86" priority="15" operator="greaterThan">
      <formula>$E$40</formula>
    </cfRule>
  </conditionalFormatting>
  <conditionalFormatting sqref="M178:T178">
    <cfRule type="cellIs" dxfId="85" priority="4" operator="equal">
      <formula>"Exceeds Project Cost Limit!   Needs Cost Limit waiver."</formula>
    </cfRule>
    <cfRule type="cellIs" dxfId="84" priority="8" operator="equal">
      <formula>"QAP Cost Limit TDC exceeds Project Cost Limit!"</formula>
    </cfRule>
  </conditionalFormatting>
  <conditionalFormatting sqref="O174:V175">
    <cfRule type="cellIs" dxfId="83" priority="7" operator="equal">
      <formula>"QAP Cost Limit TDC exceeds Project Cost Limit!"</formula>
    </cfRule>
  </conditionalFormatting>
  <conditionalFormatting sqref="O192">
    <cfRule type="cellIs" dxfId="82" priority="5" operator="equal">
      <formula>"QAP Cost Limit TDC exceeds Project Cost Limit!"</formula>
    </cfRule>
  </conditionalFormatting>
  <conditionalFormatting sqref="G55:H55">
    <cfRule type="cellIs" dxfId="81" priority="3" operator="greaterThan">
      <formula>$E$55</formula>
    </cfRule>
  </conditionalFormatting>
  <conditionalFormatting sqref="J39:K40">
    <cfRule type="cellIs" dxfId="80" priority="1" operator="greaterThan">
      <formula>$G$38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2021-018 - Roswell Redevelopment Phase I  -  Roswell  -  Fulton,  County</v>
      </c>
      <c r="B1" s="3771"/>
      <c r="C1" s="3771"/>
      <c r="D1" s="3771"/>
      <c r="E1" s="3771"/>
      <c r="F1" s="3771"/>
      <c r="G1" s="3771"/>
      <c r="H1" s="3771"/>
      <c r="I1" s="819"/>
      <c r="J1" s="819"/>
      <c r="K1" s="819"/>
      <c r="L1" s="819"/>
      <c r="M1" s="819"/>
      <c r="N1" s="819"/>
    </row>
    <row r="2" spans="1:14" ht="9" customHeight="1"/>
    <row r="3" spans="1:14" ht="57" customHeight="1">
      <c r="A3" s="3772" t="s">
        <v>3344</v>
      </c>
      <c r="B3" s="3773"/>
      <c r="C3" s="3773"/>
      <c r="D3" s="3773"/>
      <c r="E3" s="3773"/>
      <c r="F3" s="3773"/>
      <c r="G3" s="3773"/>
      <c r="H3" s="3774"/>
    </row>
    <row r="4" spans="1:14" ht="6" customHeight="1"/>
    <row r="5" spans="1:14" ht="38.25" customHeight="1">
      <c r="A5" s="3775" t="s">
        <v>3411</v>
      </c>
      <c r="B5" s="3775"/>
      <c r="C5" s="3775"/>
      <c r="D5" s="3775"/>
      <c r="F5" s="820" t="s">
        <v>3335</v>
      </c>
      <c r="G5" s="511"/>
      <c r="H5" s="820" t="s">
        <v>3336</v>
      </c>
    </row>
    <row r="6" spans="1:14" ht="6.75" customHeight="1">
      <c r="A6" s="511"/>
      <c r="B6" s="511"/>
      <c r="C6" s="511"/>
      <c r="D6" s="511"/>
    </row>
    <row r="7" spans="1:14" s="2834" customFormat="1" ht="4.5" customHeight="1">
      <c r="A7" s="821"/>
      <c r="B7" s="821"/>
      <c r="C7" s="821"/>
      <c r="D7" s="821"/>
      <c r="E7" s="821"/>
      <c r="F7" s="821"/>
      <c r="G7" s="821"/>
    </row>
    <row r="8" spans="1:14" s="2834" customFormat="1">
      <c r="A8" s="830" t="s">
        <v>95</v>
      </c>
      <c r="B8" s="822"/>
      <c r="C8" s="822"/>
      <c r="D8" s="822"/>
      <c r="E8" s="822"/>
      <c r="F8" s="822"/>
      <c r="G8" s="822"/>
      <c r="H8" s="822"/>
    </row>
    <row r="9" spans="1:14" s="2834" customFormat="1" ht="41.25" customHeight="1">
      <c r="A9" s="3776" t="str">
        <f>'Part IV-A-Uses of Funds'!$C$15</f>
        <v>&lt;&lt; Enter description here; provide detail &amp; justification in tab Part IV-b &gt;&gt;</v>
      </c>
      <c r="B9" s="3777"/>
      <c r="C9" s="3777"/>
      <c r="D9" s="3778"/>
      <c r="F9" s="3782"/>
      <c r="G9" s="822"/>
      <c r="H9" s="3782"/>
    </row>
    <row r="10" spans="1:14" s="2834" customFormat="1" ht="41.25" customHeight="1">
      <c r="A10" s="3779"/>
      <c r="B10" s="3780"/>
      <c r="C10" s="3780"/>
      <c r="D10" s="3781"/>
      <c r="F10" s="3783"/>
      <c r="G10" s="822"/>
      <c r="H10" s="3783"/>
    </row>
    <row r="11" spans="1:14" s="2834" customFormat="1" ht="4.5" customHeight="1">
      <c r="F11" s="3783"/>
      <c r="G11" s="822"/>
      <c r="H11" s="3783"/>
    </row>
    <row r="12" spans="1:14" s="2834" customFormat="1" ht="15" customHeight="1">
      <c r="A12" s="829" t="s">
        <v>3338</v>
      </c>
      <c r="B12" s="828">
        <f>'Part IV-A-Uses of Funds'!$G$15</f>
        <v>0</v>
      </c>
      <c r="C12" s="829" t="s">
        <v>1710</v>
      </c>
      <c r="D12" s="828">
        <f>'Part IV-A-Uses of Funds'!$J$15+'Part IV-A-Uses of Funds'!$M$15+'Part IV-A-Uses of Funds'!$P$15</f>
        <v>0</v>
      </c>
      <c r="F12" s="3783"/>
      <c r="G12" s="822"/>
      <c r="H12" s="3783"/>
    </row>
    <row r="13" spans="1:14" s="2834" customFormat="1" ht="6" customHeight="1">
      <c r="A13" s="822"/>
      <c r="B13" s="823"/>
      <c r="C13" s="822"/>
      <c r="D13" s="822"/>
      <c r="F13" s="3783"/>
      <c r="G13" s="824"/>
      <c r="H13" s="3783"/>
    </row>
    <row r="14" spans="1:14" s="2834" customFormat="1" ht="41.25" customHeight="1">
      <c r="A14" s="3776" t="str">
        <f>'Part IV-A-Uses of Funds'!$C$16</f>
        <v>&lt;&lt; Enter description here; provide detail &amp; justification in tab Part IV-b &gt;&gt;</v>
      </c>
      <c r="B14" s="3777"/>
      <c r="C14" s="3777"/>
      <c r="D14" s="3778"/>
      <c r="F14" s="3783"/>
      <c r="G14" s="822"/>
      <c r="H14" s="3783"/>
    </row>
    <row r="15" spans="1:14" s="2834" customFormat="1" ht="41.25" customHeight="1">
      <c r="A15" s="3779"/>
      <c r="B15" s="3780"/>
      <c r="C15" s="3780"/>
      <c r="D15" s="3781"/>
      <c r="F15" s="3783"/>
      <c r="G15" s="822"/>
      <c r="H15" s="3783"/>
    </row>
    <row r="16" spans="1:14" s="2834" customFormat="1" ht="4.5" customHeight="1">
      <c r="F16" s="3783"/>
      <c r="G16" s="822"/>
      <c r="H16" s="3783"/>
    </row>
    <row r="17" spans="1:8" s="2834" customFormat="1" ht="15" customHeight="1">
      <c r="A17" s="829" t="s">
        <v>3338</v>
      </c>
      <c r="B17" s="828">
        <f>'Part IV-A-Uses of Funds'!$G$16</f>
        <v>0</v>
      </c>
      <c r="C17" s="829" t="s">
        <v>1710</v>
      </c>
      <c r="D17" s="828">
        <f>'Part IV-A-Uses of Funds'!$J$16+'Part IV-A-Uses of Funds'!$M$16+'Part IV-A-Uses of Funds'!$P$16</f>
        <v>0</v>
      </c>
      <c r="F17" s="3783"/>
      <c r="G17" s="822"/>
      <c r="H17" s="3783"/>
    </row>
    <row r="18" spans="1:8" s="2834" customFormat="1" ht="6" customHeight="1">
      <c r="A18" s="822"/>
      <c r="B18" s="823"/>
      <c r="C18" s="822"/>
      <c r="D18" s="822"/>
      <c r="F18" s="3783"/>
      <c r="G18" s="824"/>
      <c r="H18" s="3783"/>
    </row>
    <row r="19" spans="1:8" s="2834" customFormat="1" ht="41.25" customHeight="1">
      <c r="A19" s="3776" t="str">
        <f>'Part IV-A-Uses of Funds'!$C$17</f>
        <v>&lt;&lt; Enter description here; provide detail &amp; justification in tab Part IV-b &gt;&gt;</v>
      </c>
      <c r="B19" s="3777"/>
      <c r="C19" s="3777"/>
      <c r="D19" s="3778"/>
      <c r="F19" s="3783"/>
      <c r="G19" s="822"/>
      <c r="H19" s="3783"/>
    </row>
    <row r="20" spans="1:8" s="2834" customFormat="1" ht="41.25" customHeight="1">
      <c r="A20" s="3779"/>
      <c r="B20" s="3780"/>
      <c r="C20" s="3780"/>
      <c r="D20" s="3781"/>
      <c r="F20" s="3783"/>
      <c r="G20" s="822"/>
      <c r="H20" s="3783"/>
    </row>
    <row r="21" spans="1:8" s="2834" customFormat="1" ht="4.5" customHeight="1">
      <c r="F21" s="3783"/>
      <c r="G21" s="822"/>
      <c r="H21" s="3783"/>
    </row>
    <row r="22" spans="1:8" s="2834" customFormat="1" ht="15" customHeight="1">
      <c r="A22" s="829" t="s">
        <v>3338</v>
      </c>
      <c r="B22" s="828">
        <f>'Part IV-A-Uses of Funds'!$G$17</f>
        <v>0</v>
      </c>
      <c r="C22" s="829" t="s">
        <v>1710</v>
      </c>
      <c r="D22" s="828">
        <f>'Part IV-A-Uses of Funds'!$J$17+'Part IV-A-Uses of Funds'!$M$17+'Part IV-A-Uses of Funds'!$P$17</f>
        <v>0</v>
      </c>
      <c r="F22" s="3783"/>
      <c r="G22" s="822"/>
      <c r="H22" s="3783"/>
    </row>
    <row r="23" spans="1:8" s="2834" customFormat="1" ht="6" customHeight="1">
      <c r="A23" s="822"/>
      <c r="B23" s="823"/>
      <c r="C23" s="822"/>
      <c r="D23" s="822"/>
      <c r="F23" s="3784"/>
      <c r="G23" s="824"/>
      <c r="H23" s="3784"/>
    </row>
    <row r="24" spans="1:8" s="2834" customFormat="1">
      <c r="A24" s="830" t="s">
        <v>3337</v>
      </c>
      <c r="B24" s="822"/>
      <c r="C24" s="822"/>
      <c r="D24" s="822"/>
      <c r="E24" s="822"/>
      <c r="F24" s="822"/>
      <c r="G24" s="822"/>
    </row>
    <row r="25" spans="1:8" s="2834"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4" customFormat="1" ht="41.25" customHeight="1">
      <c r="A26" s="3779"/>
      <c r="B26" s="3780"/>
      <c r="C26" s="3780"/>
      <c r="D26" s="3781"/>
      <c r="E26" s="822"/>
      <c r="F26" s="3786"/>
      <c r="G26" s="822"/>
      <c r="H26" s="3786"/>
    </row>
    <row r="27" spans="1:8" s="2834" customFormat="1" ht="4.5" customHeight="1">
      <c r="A27" s="822"/>
      <c r="B27" s="822"/>
      <c r="C27" s="822"/>
      <c r="D27" s="822"/>
      <c r="E27" s="822"/>
      <c r="F27" s="3786"/>
      <c r="G27" s="822"/>
      <c r="H27" s="3786"/>
    </row>
    <row r="28" spans="1:8" s="2834" customFormat="1" ht="25.5">
      <c r="A28" s="829" t="s">
        <v>3338</v>
      </c>
      <c r="B28" s="828">
        <f>'Part IV-A-Uses of Funds'!$G$46</f>
        <v>0</v>
      </c>
      <c r="C28" s="829" t="s">
        <v>1710</v>
      </c>
      <c r="D28" s="828">
        <f>'Part IV-A-Uses of Funds'!$J$46+'Part IV-A-Uses of Funds'!$M$46+'Part IV-A-Uses of Funds'!$P$46</f>
        <v>0</v>
      </c>
      <c r="E28" s="822"/>
      <c r="F28" s="3786"/>
      <c r="G28" s="822"/>
      <c r="H28" s="3786"/>
    </row>
    <row r="29" spans="1:8" s="2834" customFormat="1" ht="6" customHeight="1">
      <c r="A29" s="822"/>
      <c r="B29" s="823"/>
      <c r="C29" s="822"/>
      <c r="D29" s="822"/>
      <c r="E29" s="822"/>
      <c r="F29" s="3787"/>
      <c r="G29" s="824"/>
      <c r="H29" s="3787"/>
    </row>
    <row r="30" spans="1:8" s="2834" customFormat="1">
      <c r="A30" s="830" t="s">
        <v>692</v>
      </c>
      <c r="B30" s="822"/>
      <c r="C30" s="822"/>
      <c r="D30" s="822"/>
      <c r="E30" s="822"/>
      <c r="F30" s="822"/>
      <c r="G30" s="822"/>
    </row>
    <row r="31" spans="1:8" s="2834" customFormat="1" ht="41.25" customHeight="1">
      <c r="A31" s="3788" t="str">
        <f>'Part IV-A-Uses of Funds'!$C$71</f>
        <v>Construction Lender Due Diligence Fees</v>
      </c>
      <c r="B31" s="3789"/>
      <c r="C31" s="3789"/>
      <c r="D31" s="3790"/>
      <c r="E31" s="822"/>
      <c r="F31" s="3782" t="s">
        <v>6986</v>
      </c>
      <c r="G31" s="822"/>
      <c r="H31" s="3782"/>
    </row>
    <row r="32" spans="1:8" s="2834" customFormat="1" ht="41.25" customHeight="1">
      <c r="A32" s="3779"/>
      <c r="B32" s="3780"/>
      <c r="C32" s="3780"/>
      <c r="D32" s="3781"/>
      <c r="E32" s="822"/>
      <c r="F32" s="3783"/>
      <c r="G32" s="822"/>
      <c r="H32" s="3783"/>
    </row>
    <row r="33" spans="1:8" s="2834" customFormat="1" ht="4.5" customHeight="1">
      <c r="A33" s="822"/>
      <c r="B33" s="822"/>
      <c r="C33" s="822"/>
      <c r="D33" s="822"/>
      <c r="E33" s="822"/>
      <c r="F33" s="3783"/>
      <c r="G33" s="822"/>
      <c r="H33" s="3783"/>
    </row>
    <row r="34" spans="1:8" s="2834" customFormat="1" ht="14.25" customHeight="1">
      <c r="A34" s="829" t="s">
        <v>3338</v>
      </c>
      <c r="B34" s="828">
        <f>'Part IV-A-Uses of Funds'!$G$71</f>
        <v>15000</v>
      </c>
      <c r="C34" s="829" t="s">
        <v>1710</v>
      </c>
      <c r="D34" s="828">
        <f>'Part IV-A-Uses of Funds'!$J$71+'Part IV-A-Uses of Funds'!$M$71+'Part IV-A-Uses of Funds'!$P$71</f>
        <v>15000</v>
      </c>
      <c r="E34" s="822"/>
      <c r="F34" s="3783"/>
      <c r="G34" s="822"/>
      <c r="H34" s="3783"/>
    </row>
    <row r="35" spans="1:8" s="2834" customFormat="1" ht="6" customHeight="1">
      <c r="D35" s="822"/>
      <c r="E35" s="822"/>
      <c r="F35" s="3783"/>
      <c r="G35" s="824"/>
      <c r="H35" s="3783"/>
    </row>
    <row r="36" spans="1:8" s="2834"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4" customFormat="1" ht="41.25" customHeight="1">
      <c r="A37" s="3779"/>
      <c r="B37" s="3780"/>
      <c r="C37" s="3780"/>
      <c r="D37" s="3781"/>
      <c r="E37" s="822"/>
      <c r="F37" s="3783"/>
      <c r="G37" s="822"/>
      <c r="H37" s="3783"/>
    </row>
    <row r="38" spans="1:8" s="2834" customFormat="1" ht="4.5" customHeight="1">
      <c r="A38" s="822"/>
      <c r="B38" s="822"/>
      <c r="C38" s="822"/>
      <c r="D38" s="822"/>
      <c r="E38" s="822"/>
      <c r="F38" s="3783"/>
      <c r="G38" s="822"/>
      <c r="H38" s="3783"/>
    </row>
    <row r="39" spans="1:8" s="2834" customFormat="1" ht="14.25" customHeight="1">
      <c r="A39" s="829" t="s">
        <v>3338</v>
      </c>
      <c r="B39" s="828">
        <f>'Part IV-A-Uses of Funds'!$G$72</f>
        <v>0</v>
      </c>
      <c r="C39" s="829" t="s">
        <v>1710</v>
      </c>
      <c r="D39" s="828">
        <f>'Part IV-A-Uses of Funds'!$J$72+'Part IV-A-Uses of Funds'!$M$72+'Part IV-A-Uses of Funds'!$P$72</f>
        <v>0</v>
      </c>
      <c r="E39" s="822"/>
      <c r="F39" s="3783"/>
      <c r="G39" s="822"/>
      <c r="H39" s="3783"/>
    </row>
    <row r="40" spans="1:8" s="2834" customFormat="1" ht="6" customHeight="1">
      <c r="D40" s="822"/>
      <c r="E40" s="822"/>
      <c r="F40" s="3784"/>
      <c r="G40" s="824"/>
      <c r="H40" s="3784"/>
    </row>
    <row r="41" spans="1:8" s="2834" customFormat="1">
      <c r="A41" s="830" t="s">
        <v>456</v>
      </c>
      <c r="B41" s="822"/>
      <c r="C41" s="822"/>
      <c r="D41" s="822"/>
      <c r="E41" s="826"/>
      <c r="F41" s="826"/>
      <c r="G41" s="822"/>
    </row>
    <row r="42" spans="1:8" s="2834" customFormat="1" ht="41.25" customHeight="1">
      <c r="A42" s="3788" t="str">
        <f>'Part IV-A-Uses of Funds'!$C$85</f>
        <v>Utilities: Transformer &amp; Site Lighting</v>
      </c>
      <c r="B42" s="3789"/>
      <c r="C42" s="3789"/>
      <c r="D42" s="3790"/>
      <c r="F42" s="3785" t="s">
        <v>6987</v>
      </c>
      <c r="G42" s="822"/>
      <c r="H42" s="3785"/>
    </row>
    <row r="43" spans="1:8" s="2834" customFormat="1" ht="41.25" customHeight="1">
      <c r="A43" s="3779"/>
      <c r="B43" s="3780"/>
      <c r="C43" s="3780"/>
      <c r="D43" s="3781"/>
      <c r="E43" s="822"/>
      <c r="F43" s="3786"/>
      <c r="G43" s="822"/>
      <c r="H43" s="3786"/>
    </row>
    <row r="44" spans="1:8" s="2834" customFormat="1" ht="4.5" customHeight="1">
      <c r="A44" s="822"/>
      <c r="B44" s="822"/>
      <c r="C44" s="822"/>
      <c r="D44" s="822"/>
      <c r="E44" s="822"/>
      <c r="F44" s="3786"/>
      <c r="G44" s="822"/>
      <c r="H44" s="3786"/>
    </row>
    <row r="45" spans="1:8" s="2834" customFormat="1" ht="13.5" customHeight="1">
      <c r="A45" s="829" t="s">
        <v>3338</v>
      </c>
      <c r="B45" s="828">
        <f>'Part IV-A-Uses of Funds'!$G$85</f>
        <v>30000</v>
      </c>
      <c r="C45" s="829" t="s">
        <v>1710</v>
      </c>
      <c r="D45" s="828">
        <f>'Part IV-A-Uses of Funds'!$J$85+'Part IV-A-Uses of Funds'!$M$85+'Part IV-A-Uses of Funds'!$P$85</f>
        <v>30000</v>
      </c>
      <c r="E45" s="822"/>
      <c r="F45" s="3786"/>
      <c r="G45" s="822"/>
      <c r="H45" s="3786"/>
    </row>
    <row r="46" spans="1:8" s="2834" customFormat="1" ht="6" customHeight="1">
      <c r="A46" s="822"/>
      <c r="B46" s="823"/>
      <c r="C46" s="822"/>
      <c r="D46" s="822"/>
      <c r="E46" s="822"/>
      <c r="F46" s="3787"/>
      <c r="G46" s="824"/>
      <c r="H46" s="3787"/>
    </row>
    <row r="47" spans="1:8" s="2834" customFormat="1">
      <c r="A47" s="830" t="s">
        <v>694</v>
      </c>
      <c r="B47" s="822"/>
      <c r="C47" s="822"/>
      <c r="D47" s="822"/>
      <c r="E47" s="822"/>
      <c r="F47" s="822"/>
      <c r="G47" s="822"/>
    </row>
    <row r="48" spans="1:8" s="2834" customFormat="1" ht="41.25" customHeight="1">
      <c r="A48" s="3788" t="str">
        <f>'Part IV-A-Uses of Funds'!$C$102</f>
        <v>&lt;&lt; Enter description here; provide detail &amp; justification in tab Part IV-b &gt;&gt;</v>
      </c>
      <c r="B48" s="3789"/>
      <c r="C48" s="3789"/>
      <c r="D48" s="3790"/>
      <c r="F48" s="3785"/>
      <c r="G48" s="822"/>
    </row>
    <row r="49" spans="1:7" s="2834" customFormat="1" ht="41.25" customHeight="1">
      <c r="A49" s="3779"/>
      <c r="B49" s="3780"/>
      <c r="C49" s="3780"/>
      <c r="D49" s="3781"/>
      <c r="E49" s="822"/>
      <c r="F49" s="3786"/>
      <c r="G49" s="822"/>
    </row>
    <row r="50" spans="1:7" s="2834" customFormat="1" ht="3" customHeight="1">
      <c r="A50" s="822"/>
      <c r="B50" s="822"/>
      <c r="C50" s="822"/>
      <c r="D50" s="822"/>
      <c r="E50" s="822"/>
      <c r="F50" s="3786"/>
      <c r="G50" s="822"/>
    </row>
    <row r="51" spans="1:7" s="2834" customFormat="1" ht="13.5" customHeight="1">
      <c r="A51" s="829" t="s">
        <v>3338</v>
      </c>
      <c r="B51" s="828">
        <f>'Part IV-A-Uses of Funds'!$G$102</f>
        <v>0</v>
      </c>
      <c r="C51" s="825"/>
      <c r="D51" s="825"/>
      <c r="E51" s="822"/>
      <c r="F51" s="3786"/>
      <c r="G51" s="822"/>
    </row>
    <row r="52" spans="1:7" s="2834" customFormat="1" ht="3.75" customHeight="1">
      <c r="A52" s="822"/>
      <c r="B52" s="822"/>
      <c r="C52" s="822"/>
      <c r="D52" s="822"/>
      <c r="E52" s="822"/>
      <c r="F52" s="3787"/>
      <c r="G52" s="824"/>
    </row>
    <row r="53" spans="1:7" s="2834" customFormat="1">
      <c r="A53" s="830" t="s">
        <v>3339</v>
      </c>
      <c r="B53" s="822"/>
      <c r="C53" s="822"/>
      <c r="D53" s="822"/>
      <c r="E53" s="822"/>
      <c r="F53" s="822"/>
      <c r="G53" s="822"/>
    </row>
    <row r="54" spans="1:7" s="2834" customFormat="1" ht="41.25" customHeight="1">
      <c r="A54" s="3788" t="str">
        <f>'Part IV-A-Uses of Funds'!$C$112</f>
        <v>&lt;&lt; Enter description here; provide detail &amp; justification in tab Part IV-b &gt;&gt;</v>
      </c>
      <c r="B54" s="3789"/>
      <c r="C54" s="3789"/>
      <c r="D54" s="3790"/>
      <c r="F54" s="3782"/>
      <c r="G54" s="822"/>
    </row>
    <row r="55" spans="1:7" s="2834" customFormat="1" ht="41.25" customHeight="1">
      <c r="A55" s="3779"/>
      <c r="B55" s="3780"/>
      <c r="C55" s="3780"/>
      <c r="D55" s="3781"/>
      <c r="E55" s="822"/>
      <c r="F55" s="3783"/>
      <c r="G55" s="822"/>
    </row>
    <row r="56" spans="1:7" s="2834" customFormat="1" ht="3" customHeight="1">
      <c r="A56" s="822"/>
      <c r="B56" s="822"/>
      <c r="C56" s="822"/>
      <c r="D56" s="822"/>
      <c r="E56" s="822"/>
      <c r="F56" s="3783"/>
      <c r="G56" s="822"/>
    </row>
    <row r="57" spans="1:7" s="2834" customFormat="1" ht="25.5">
      <c r="A57" s="829" t="s">
        <v>3338</v>
      </c>
      <c r="B57" s="828">
        <f>'Part IV-A-Uses of Funds'!$G$112</f>
        <v>0</v>
      </c>
      <c r="C57" s="825"/>
      <c r="D57" s="825"/>
      <c r="E57" s="822"/>
      <c r="F57" s="3783"/>
      <c r="G57" s="822"/>
    </row>
    <row r="58" spans="1:7" s="2834" customFormat="1" ht="3.75" customHeight="1">
      <c r="A58" s="821"/>
      <c r="B58" s="821"/>
      <c r="C58" s="821"/>
      <c r="D58" s="821"/>
      <c r="E58" s="821"/>
      <c r="F58" s="3783"/>
      <c r="G58" s="824"/>
    </row>
    <row r="59" spans="1:7" s="2834" customFormat="1" ht="41.25" customHeight="1">
      <c r="A59" s="3788" t="str">
        <f>'Part IV-A-Uses of Funds'!$C$113</f>
        <v>&lt;&lt; Enter description here; provide detail &amp; justification in tab Part IV-b &gt;&gt;</v>
      </c>
      <c r="B59" s="3789"/>
      <c r="C59" s="3789"/>
      <c r="D59" s="3790"/>
      <c r="F59" s="3783"/>
      <c r="G59" s="822"/>
    </row>
    <row r="60" spans="1:7" s="2834" customFormat="1" ht="41.25" customHeight="1">
      <c r="A60" s="3779"/>
      <c r="B60" s="3780"/>
      <c r="C60" s="3780"/>
      <c r="D60" s="3781"/>
      <c r="E60" s="822"/>
      <c r="F60" s="3783"/>
      <c r="G60" s="822"/>
    </row>
    <row r="61" spans="1:7" s="2834" customFormat="1" ht="3" customHeight="1">
      <c r="A61" s="822"/>
      <c r="B61" s="822"/>
      <c r="C61" s="822"/>
      <c r="D61" s="822"/>
      <c r="E61" s="822"/>
      <c r="F61" s="3783"/>
      <c r="G61" s="822"/>
    </row>
    <row r="62" spans="1:7" s="2834" customFormat="1" ht="25.5">
      <c r="A62" s="829" t="s">
        <v>3338</v>
      </c>
      <c r="B62" s="828">
        <f>'Part IV-A-Uses of Funds'!$G$113</f>
        <v>0</v>
      </c>
      <c r="C62" s="825"/>
      <c r="D62" s="825"/>
      <c r="E62" s="822"/>
      <c r="F62" s="3783"/>
      <c r="G62" s="822"/>
    </row>
    <row r="63" spans="1:7" s="2834" customFormat="1" ht="3.75" customHeight="1">
      <c r="A63" s="821"/>
      <c r="B63" s="821"/>
      <c r="C63" s="821"/>
      <c r="D63" s="821"/>
      <c r="E63" s="821"/>
      <c r="F63" s="3784"/>
      <c r="G63" s="824"/>
    </row>
    <row r="64" spans="1:7" s="2834" customFormat="1">
      <c r="A64" s="830" t="s">
        <v>3340</v>
      </c>
      <c r="B64" s="822"/>
      <c r="C64" s="822"/>
      <c r="D64" s="822"/>
      <c r="E64" s="822"/>
      <c r="F64" s="822"/>
      <c r="G64" s="822"/>
    </row>
    <row r="65" spans="1:8" s="2834" customFormat="1" ht="41.25" customHeight="1">
      <c r="A65" s="3788" t="str">
        <f>'Part IV-A-Uses of Funds'!$C$119</f>
        <v>&lt;&lt; Enter description here; provide detail &amp; justification in tab Part IV-b &gt;&gt;</v>
      </c>
      <c r="B65" s="3789"/>
      <c r="C65" s="3789"/>
      <c r="D65" s="3790"/>
      <c r="F65" s="3785"/>
      <c r="G65" s="822"/>
    </row>
    <row r="66" spans="1:8" s="2834" customFormat="1" ht="41.25" customHeight="1">
      <c r="A66" s="3779"/>
      <c r="B66" s="3780"/>
      <c r="C66" s="3780"/>
      <c r="D66" s="3781"/>
      <c r="E66" s="822"/>
      <c r="F66" s="3786"/>
      <c r="G66" s="822"/>
    </row>
    <row r="67" spans="1:8" s="2834" customFormat="1" ht="3" customHeight="1">
      <c r="A67" s="822"/>
      <c r="B67" s="822"/>
      <c r="C67" s="822"/>
      <c r="D67" s="822"/>
      <c r="E67" s="822"/>
      <c r="F67" s="3786"/>
      <c r="G67" s="822"/>
    </row>
    <row r="68" spans="1:8" s="2834" customFormat="1" ht="25.5">
      <c r="A68" s="829" t="s">
        <v>3338</v>
      </c>
      <c r="B68" s="828">
        <f>'Part IV-A-Uses of Funds'!$G$119</f>
        <v>0</v>
      </c>
      <c r="C68" s="825"/>
      <c r="D68" s="825"/>
      <c r="E68" s="822"/>
      <c r="F68" s="3786"/>
      <c r="G68" s="822"/>
    </row>
    <row r="69" spans="1:8" s="2834" customFormat="1" ht="3.75" customHeight="1">
      <c r="A69" s="822"/>
      <c r="B69" s="823"/>
      <c r="C69" s="822"/>
      <c r="D69" s="822"/>
      <c r="E69" s="822"/>
      <c r="F69" s="3787"/>
      <c r="G69" s="824"/>
    </row>
    <row r="70" spans="1:8" s="2834" customFormat="1">
      <c r="A70" s="830" t="s">
        <v>1260</v>
      </c>
      <c r="B70" s="822"/>
      <c r="C70" s="822"/>
      <c r="D70" s="822"/>
      <c r="E70" s="822"/>
      <c r="F70" s="822"/>
      <c r="G70" s="822"/>
    </row>
    <row r="71" spans="1:8" s="2834" customFormat="1" ht="41.25" customHeight="1">
      <c r="A71" s="3788" t="str">
        <f>'Part IV-A-Uses of Funds'!$C$134</f>
        <v>&lt;&lt; Enter description here; provide detail &amp; justification in tab Part IV-b &gt;&gt;</v>
      </c>
      <c r="B71" s="3789"/>
      <c r="C71" s="3789"/>
      <c r="D71" s="3790"/>
      <c r="F71" s="3785"/>
      <c r="G71" s="822"/>
      <c r="H71" s="3785"/>
    </row>
    <row r="72" spans="1:8" s="2834" customFormat="1" ht="41.25" customHeight="1">
      <c r="A72" s="3779"/>
      <c r="B72" s="3780"/>
      <c r="C72" s="3780"/>
      <c r="D72" s="3781"/>
      <c r="E72" s="822"/>
      <c r="F72" s="3786"/>
      <c r="G72" s="822"/>
      <c r="H72" s="3786"/>
    </row>
    <row r="73" spans="1:8" s="2834" customFormat="1" ht="4.5" customHeight="1">
      <c r="A73" s="822"/>
      <c r="B73" s="822"/>
      <c r="C73" s="822"/>
      <c r="D73" s="822"/>
      <c r="E73" s="822"/>
      <c r="F73" s="3786"/>
      <c r="G73" s="822"/>
      <c r="H73" s="3786"/>
    </row>
    <row r="74" spans="1:8" s="2834" customFormat="1" ht="12.75" customHeight="1">
      <c r="A74" s="829" t="s">
        <v>3338</v>
      </c>
      <c r="B74" s="828">
        <f>'Part IV-A-Uses of Funds'!$G$134</f>
        <v>0</v>
      </c>
      <c r="C74" s="829" t="s">
        <v>1710</v>
      </c>
      <c r="D74" s="828">
        <f>'Part IV-A-Uses of Funds'!$J$134+'Part IV-A-Uses of Funds'!$M$134+'Part IV-A-Uses of Funds'!$P$134</f>
        <v>0</v>
      </c>
      <c r="E74" s="822"/>
      <c r="F74" s="3786"/>
      <c r="G74" s="822"/>
      <c r="H74" s="3786"/>
    </row>
    <row r="75" spans="1:8" s="2834" customFormat="1" ht="6" customHeight="1">
      <c r="A75" s="822"/>
      <c r="B75" s="823"/>
      <c r="C75" s="822"/>
      <c r="D75" s="822"/>
      <c r="E75" s="822"/>
      <c r="F75" s="3787"/>
      <c r="G75" s="824"/>
      <c r="H75" s="3787"/>
    </row>
    <row r="76" spans="1:8" s="2834" customFormat="1">
      <c r="A76" s="830" t="s">
        <v>3341</v>
      </c>
      <c r="B76" s="823"/>
      <c r="C76" s="822"/>
      <c r="D76" s="822"/>
      <c r="E76" s="822"/>
      <c r="F76" s="822"/>
      <c r="G76" s="824"/>
    </row>
    <row r="77" spans="1:8" s="2834" customFormat="1" ht="41.25" customHeight="1">
      <c r="A77" s="3788" t="str">
        <f>'Part IV-A-Uses of Funds'!$C$143</f>
        <v>&lt;&lt; Enter description here; provide detail &amp; justification in tab Part IV-b &gt;&gt;</v>
      </c>
      <c r="B77" s="3789"/>
      <c r="C77" s="3789"/>
      <c r="D77" s="3790"/>
      <c r="F77" s="3785"/>
      <c r="G77" s="822"/>
      <c r="H77" s="3785"/>
    </row>
    <row r="78" spans="1:8" s="2834" customFormat="1" ht="41.25" customHeight="1">
      <c r="A78" s="3779"/>
      <c r="B78" s="3780"/>
      <c r="C78" s="3780"/>
      <c r="D78" s="3781"/>
      <c r="E78" s="822"/>
      <c r="F78" s="3786"/>
      <c r="G78" s="822"/>
      <c r="H78" s="3786"/>
    </row>
    <row r="79" spans="1:8" s="2834" customFormat="1" ht="4.5" customHeight="1">
      <c r="A79" s="822"/>
      <c r="B79" s="822"/>
      <c r="C79" s="822"/>
      <c r="D79" s="822"/>
      <c r="E79" s="822"/>
      <c r="F79" s="3786"/>
      <c r="G79" s="822"/>
      <c r="H79" s="3786"/>
    </row>
    <row r="80" spans="1:8" s="2834" customFormat="1" ht="12.75" customHeight="1">
      <c r="A80" s="829" t="s">
        <v>3338</v>
      </c>
      <c r="B80" s="828">
        <f>'Part IV-A-Uses of Funds'!$G$143</f>
        <v>0</v>
      </c>
      <c r="C80" s="829" t="s">
        <v>1710</v>
      </c>
      <c r="D80" s="828">
        <f>'Part IV-A-Uses of Funds'!$J$143+'Part IV-A-Uses of Funds'!$M$143+'Part IV-A-Uses of Funds'!$P$143</f>
        <v>0</v>
      </c>
      <c r="E80" s="827"/>
      <c r="F80" s="3786"/>
      <c r="G80" s="822"/>
      <c r="H80" s="3786"/>
    </row>
    <row r="81" spans="4:8" s="2834" customFormat="1" ht="6" customHeight="1">
      <c r="D81" s="2835"/>
      <c r="E81" s="2836"/>
      <c r="F81" s="3787"/>
      <c r="G81" s="824"/>
      <c r="H81" s="3787"/>
    </row>
    <row r="82" spans="4:8" s="2834" customFormat="1"/>
    <row r="83" spans="4:8" s="2834" customFormat="1"/>
    <row r="84" spans="4:8" s="2834" customFormat="1"/>
    <row r="85" spans="4:8" s="2834" customFormat="1"/>
    <row r="86" spans="4:8" s="2834" customFormat="1"/>
    <row r="87" spans="4:8" s="2834" customFormat="1"/>
    <row r="88" spans="4:8" s="2834" customFormat="1"/>
    <row r="89" spans="4:8" s="2834" customFormat="1"/>
    <row r="90" spans="4:8" s="2834" customFormat="1"/>
    <row r="91" spans="4:8" s="2834" customFormat="1"/>
    <row r="92" spans="4:8" s="2834" customFormat="1"/>
  </sheetData>
  <sheetProtection algorithmName="SHA-512" hashValue="vIFueg4hz5DM8aNTeITNMzIU7+s6fqTR9Zb83D27QFL4qBzB569QjsE1FjNh5ZhbNL46VwRTldeRufMKPZC2RQ==" saltValue="cTQMow77KJNibyqvgmtvg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2021-018 Roswell Redevelopment Phase I, Roswell, Fulton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
May 10 Rev</v>
      </c>
      <c r="C3" s="3805"/>
      <c r="D3" s="3805"/>
      <c r="E3" s="3805"/>
      <c r="F3" s="4" t="s">
        <v>3825</v>
      </c>
      <c r="I3" s="2650" t="str">
        <f>VLOOKUP('Part I-Project Information'!$J$40,'DCA Underwriting Assumptions'!$G$174:$H$333,2)</f>
        <v>Local PHA</v>
      </c>
    </row>
    <row r="4" spans="1:25" s="8" customFormat="1" ht="6" customHeight="1" thickBot="1"/>
    <row r="5" spans="1:25">
      <c r="A5" s="249" t="s">
        <v>6830</v>
      </c>
      <c r="O5" s="3806" t="s">
        <v>6829</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6962</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6595</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6963</v>
      </c>
      <c r="E12" s="3799"/>
      <c r="F12" s="2837" t="s">
        <v>422</v>
      </c>
      <c r="G12" s="2837"/>
      <c r="H12" s="908"/>
      <c r="I12" s="2838"/>
      <c r="J12" s="2838">
        <v>3.42</v>
      </c>
      <c r="K12" s="2838">
        <v>5.92</v>
      </c>
      <c r="L12" s="2838">
        <v>6.75</v>
      </c>
      <c r="M12" s="2838"/>
      <c r="O12" s="3812"/>
      <c r="P12" s="3813"/>
      <c r="Q12" s="3813"/>
      <c r="R12" s="3813"/>
      <c r="S12" s="3813"/>
      <c r="T12" s="3813"/>
      <c r="U12" s="3814"/>
    </row>
    <row r="13" spans="1:25" s="8" customFormat="1" ht="12" customHeight="1">
      <c r="B13" s="1348" t="s">
        <v>1531</v>
      </c>
      <c r="C13" s="1349"/>
      <c r="D13" s="3822" t="s">
        <v>1530</v>
      </c>
      <c r="E13" s="3823"/>
      <c r="F13" s="2839" t="s">
        <v>422</v>
      </c>
      <c r="G13" s="2839"/>
      <c r="H13" s="907"/>
      <c r="I13" s="2840"/>
      <c r="J13" s="2840">
        <v>1.75</v>
      </c>
      <c r="K13" s="2840">
        <v>1.92</v>
      </c>
      <c r="L13" s="2841">
        <v>2.17</v>
      </c>
      <c r="M13" s="2841"/>
      <c r="O13" s="3815" t="s">
        <v>3410</v>
      </c>
      <c r="P13" s="3815"/>
      <c r="Q13" s="3815"/>
    </row>
    <row r="14" spans="1:25" s="8" customFormat="1" ht="12" customHeight="1">
      <c r="B14" s="1350" t="s">
        <v>1532</v>
      </c>
      <c r="C14" s="1351"/>
      <c r="D14" s="3822" t="s">
        <v>1530</v>
      </c>
      <c r="E14" s="3823"/>
      <c r="F14" s="2839" t="s">
        <v>422</v>
      </c>
      <c r="G14" s="2839"/>
      <c r="H14" s="246"/>
      <c r="I14" s="2840"/>
      <c r="J14" s="2840">
        <v>6.58</v>
      </c>
      <c r="K14" s="2840">
        <v>8.75</v>
      </c>
      <c r="L14" s="2841">
        <v>10.92</v>
      </c>
      <c r="M14" s="2841"/>
      <c r="O14" s="3815"/>
      <c r="P14" s="3815"/>
      <c r="Q14" s="3815"/>
    </row>
    <row r="15" spans="1:25" s="8" customFormat="1" ht="12" customHeight="1">
      <c r="B15" s="1352" t="s">
        <v>447</v>
      </c>
      <c r="C15" s="1353"/>
      <c r="D15" s="1352" t="s">
        <v>1530</v>
      </c>
      <c r="E15" s="247"/>
      <c r="F15" s="2839" t="s">
        <v>422</v>
      </c>
      <c r="G15" s="2839"/>
      <c r="H15" s="906"/>
      <c r="I15" s="2840"/>
      <c r="J15" s="2840">
        <v>3.83</v>
      </c>
      <c r="K15" s="2840">
        <v>4.5</v>
      </c>
      <c r="L15" s="2841">
        <v>5.25</v>
      </c>
      <c r="M15" s="2841"/>
      <c r="O15" s="3815"/>
      <c r="P15" s="3815"/>
      <c r="Q15" s="3815"/>
    </row>
    <row r="16" spans="1:25" s="8" customFormat="1" ht="12" customHeight="1">
      <c r="B16" s="1354" t="s">
        <v>3404</v>
      </c>
      <c r="C16" s="1349"/>
      <c r="D16" s="1348" t="s">
        <v>1530</v>
      </c>
      <c r="E16" s="905"/>
      <c r="F16" s="2839"/>
      <c r="G16" s="2839"/>
      <c r="H16" s="907"/>
      <c r="I16" s="2840"/>
      <c r="J16" s="2840"/>
      <c r="K16" s="2840"/>
      <c r="L16" s="2841"/>
      <c r="M16" s="2841"/>
      <c r="O16" s="3815"/>
      <c r="P16" s="3815"/>
      <c r="Q16" s="3815"/>
    </row>
    <row r="17" spans="1:25" s="8" customFormat="1" ht="12" customHeight="1">
      <c r="B17" s="1354" t="s">
        <v>3405</v>
      </c>
      <c r="C17" s="1349"/>
      <c r="D17" s="1348" t="s">
        <v>1530</v>
      </c>
      <c r="E17" s="905"/>
      <c r="F17" s="2839"/>
      <c r="G17" s="2839"/>
      <c r="H17" s="907"/>
      <c r="I17" s="2840"/>
      <c r="J17" s="2840"/>
      <c r="K17" s="2840"/>
      <c r="L17" s="2841"/>
      <c r="M17" s="2841"/>
      <c r="O17" s="3815"/>
      <c r="P17" s="3815"/>
      <c r="Q17" s="3815"/>
    </row>
    <row r="18" spans="1:25" s="8" customFormat="1" ht="12" customHeight="1">
      <c r="B18" s="1355" t="s">
        <v>3406</v>
      </c>
      <c r="C18" s="1351"/>
      <c r="D18" s="1350" t="s">
        <v>1530</v>
      </c>
      <c r="E18" s="905"/>
      <c r="F18" s="2839" t="s">
        <v>422</v>
      </c>
      <c r="G18" s="2839"/>
      <c r="H18" s="246"/>
      <c r="I18" s="2840"/>
      <c r="J18" s="2840">
        <f>11.5+39.05</f>
        <v>50.55</v>
      </c>
      <c r="K18" s="2840">
        <f>45.98+14</f>
        <v>59.98</v>
      </c>
      <c r="L18" s="2841">
        <f>16.75+51.38</f>
        <v>68.13</v>
      </c>
      <c r="M18" s="2841"/>
      <c r="O18" s="3815"/>
      <c r="P18" s="3815"/>
      <c r="Q18" s="3815"/>
    </row>
    <row r="19" spans="1:25" s="8" customFormat="1" ht="12" customHeight="1">
      <c r="B19" s="1352" t="s">
        <v>1321</v>
      </c>
      <c r="C19" s="1353"/>
      <c r="D19" s="1358" t="s">
        <v>3197</v>
      </c>
      <c r="E19" s="2842" t="s">
        <v>2769</v>
      </c>
      <c r="F19" s="2839"/>
      <c r="G19" s="2839" t="s">
        <v>422</v>
      </c>
      <c r="H19" s="906"/>
      <c r="I19" s="2840"/>
      <c r="J19" s="2840">
        <v>28.78</v>
      </c>
      <c r="K19" s="2840">
        <f>16.88+26.3</f>
        <v>43.18</v>
      </c>
      <c r="L19" s="2841">
        <f>22.51+35.06</f>
        <v>57.570000000000007</v>
      </c>
      <c r="M19" s="2841"/>
      <c r="O19" s="3815"/>
      <c r="P19" s="3815"/>
      <c r="Q19" s="3815"/>
    </row>
    <row r="20" spans="1:25" s="8" customFormat="1" ht="12" customHeight="1">
      <c r="B20" s="1356" t="s">
        <v>1765</v>
      </c>
      <c r="C20" s="1357"/>
      <c r="D20" s="248"/>
      <c r="E20" s="220"/>
      <c r="F20" s="2839"/>
      <c r="G20" s="2839" t="s">
        <v>422</v>
      </c>
      <c r="H20" s="907"/>
      <c r="I20" s="2840"/>
      <c r="J20" s="2840"/>
      <c r="K20" s="2840"/>
      <c r="L20" s="2841"/>
      <c r="M20" s="2841"/>
      <c r="O20" s="3815"/>
      <c r="P20" s="3815"/>
      <c r="Q20" s="3815"/>
    </row>
    <row r="21" spans="1:25" s="8" customFormat="1" ht="12" customHeight="1">
      <c r="B21" s="1356" t="s">
        <v>711</v>
      </c>
      <c r="C21" s="3824" t="s">
        <v>7003</v>
      </c>
      <c r="D21" s="3825"/>
      <c r="E21" s="3826"/>
      <c r="F21" s="2843"/>
      <c r="G21" s="2843" t="s">
        <v>422</v>
      </c>
      <c r="H21" s="909"/>
      <c r="I21" s="2844"/>
      <c r="J21" s="2844">
        <v>14.31</v>
      </c>
      <c r="K21" s="2844">
        <v>14.31</v>
      </c>
      <c r="L21" s="2845">
        <v>14.31</v>
      </c>
      <c r="M21" s="2845"/>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109.22</v>
      </c>
      <c r="K22" s="149">
        <f>IF(SUM(K12:K21)=0,0,IF(OR($D12="&lt;&lt;Select Fuel &gt;&gt;",$D13="&lt;&lt;Select Fuel &gt;&gt;",$D14="&lt;&lt;Select Fuel &gt;&gt;"),"Select Fuel",IF($E19="&lt;Select&gt;","Submeter?",SUM(K12:K21))))</f>
        <v>138.56</v>
      </c>
      <c r="L22" s="149">
        <f>IF(SUM(L12:L21)=0,0,IF(OR($D12="&lt;&lt;Select Fuel &gt;&gt;",$D13="&lt;&lt;Select Fuel &gt;&gt;",$D14="&lt;&lt;Select Fuel &gt;&gt;"),"Select Fuel",IF($E19="&lt;Select&gt;","Submeter?",SUM(L12:L21))))</f>
        <v>165.10000000000002</v>
      </c>
      <c r="M22" s="149">
        <f>IF(SUM(M12:M21)=0,0,IF(OR($D12="&lt;&lt;Select Fuel &gt;&gt;",$D13="&lt;&lt;Select Fuel &gt;&gt;",$D14="&lt;&lt;Select Fuel &gt;&gt;"),"Select Fuel",IF($E19="&lt;Select&gt;","Submeter?",SUM(M12:M21))))</f>
        <v>0</v>
      </c>
    </row>
    <row r="23" spans="1:25" s="8" customFormat="1" ht="7.5" customHeight="1">
      <c r="M23" s="27"/>
      <c r="N23" s="27"/>
      <c r="O23" s="3806" t="s">
        <v>6829</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7"/>
      <c r="G29" s="2837"/>
      <c r="H29" s="908"/>
      <c r="I29" s="2838"/>
      <c r="J29" s="2838"/>
      <c r="K29" s="2838"/>
      <c r="L29" s="2838"/>
      <c r="M29" s="2838"/>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39"/>
      <c r="G30" s="2839"/>
      <c r="H30" s="907"/>
      <c r="I30" s="2840"/>
      <c r="J30" s="2840"/>
      <c r="K30" s="2840"/>
      <c r="L30" s="2841"/>
      <c r="M30" s="2841"/>
      <c r="O30" s="3812"/>
      <c r="P30" s="3813"/>
      <c r="Q30" s="3813"/>
      <c r="R30" s="3813"/>
      <c r="S30" s="3813"/>
      <c r="T30" s="3813"/>
      <c r="U30" s="3814"/>
    </row>
    <row r="31" spans="1:25" s="8" customFormat="1" ht="12" customHeight="1">
      <c r="B31" s="1350" t="s">
        <v>1532</v>
      </c>
      <c r="C31" s="1351"/>
      <c r="D31" s="3822" t="s">
        <v>1736</v>
      </c>
      <c r="E31" s="3823"/>
      <c r="F31" s="2839"/>
      <c r="G31" s="2839"/>
      <c r="H31" s="246"/>
      <c r="I31" s="2840"/>
      <c r="J31" s="2840"/>
      <c r="K31" s="2840"/>
      <c r="L31" s="2841"/>
      <c r="M31" s="2841"/>
      <c r="O31" s="3815" t="s">
        <v>3410</v>
      </c>
      <c r="P31" s="3815"/>
      <c r="Q31" s="3815"/>
    </row>
    <row r="32" spans="1:25" s="8" customFormat="1" ht="12" customHeight="1">
      <c r="B32" s="1352" t="s">
        <v>447</v>
      </c>
      <c r="C32" s="1353"/>
      <c r="D32" s="1352" t="s">
        <v>1530</v>
      </c>
      <c r="E32" s="247"/>
      <c r="F32" s="2839"/>
      <c r="G32" s="2839"/>
      <c r="H32" s="906"/>
      <c r="I32" s="2840"/>
      <c r="J32" s="2840"/>
      <c r="K32" s="2840"/>
      <c r="L32" s="2841"/>
      <c r="M32" s="2841"/>
      <c r="O32" s="3815"/>
      <c r="P32" s="3815"/>
      <c r="Q32" s="3815"/>
    </row>
    <row r="33" spans="1:19" s="8" customFormat="1" ht="12" customHeight="1">
      <c r="B33" s="1354" t="s">
        <v>3404</v>
      </c>
      <c r="C33" s="1349"/>
      <c r="D33" s="1348" t="s">
        <v>1530</v>
      </c>
      <c r="E33" s="905"/>
      <c r="F33" s="2839"/>
      <c r="G33" s="2839"/>
      <c r="H33" s="907"/>
      <c r="I33" s="2840"/>
      <c r="J33" s="2840"/>
      <c r="K33" s="2840"/>
      <c r="L33" s="2841"/>
      <c r="M33" s="2841"/>
      <c r="O33" s="3815"/>
      <c r="P33" s="3815"/>
      <c r="Q33" s="3815"/>
    </row>
    <row r="34" spans="1:19" s="8" customFormat="1" ht="12" customHeight="1">
      <c r="B34" s="1354" t="s">
        <v>3405</v>
      </c>
      <c r="C34" s="1349"/>
      <c r="D34" s="1348" t="s">
        <v>1530</v>
      </c>
      <c r="E34" s="905"/>
      <c r="F34" s="2839"/>
      <c r="G34" s="2839"/>
      <c r="H34" s="907"/>
      <c r="I34" s="2840"/>
      <c r="J34" s="2840"/>
      <c r="K34" s="2840"/>
      <c r="L34" s="2841"/>
      <c r="M34" s="2841"/>
      <c r="O34" s="3815"/>
      <c r="P34" s="3815"/>
      <c r="Q34" s="3815"/>
    </row>
    <row r="35" spans="1:19" s="8" customFormat="1" ht="12" customHeight="1">
      <c r="B35" s="1355" t="s">
        <v>3406</v>
      </c>
      <c r="C35" s="1351"/>
      <c r="D35" s="1350" t="s">
        <v>1530</v>
      </c>
      <c r="E35" s="905"/>
      <c r="F35" s="2839"/>
      <c r="G35" s="2839"/>
      <c r="H35" s="246"/>
      <c r="I35" s="2840"/>
      <c r="J35" s="2840"/>
      <c r="K35" s="2840"/>
      <c r="L35" s="2841"/>
      <c r="M35" s="2841"/>
      <c r="O35" s="3815"/>
      <c r="P35" s="3815"/>
      <c r="Q35" s="3815"/>
    </row>
    <row r="36" spans="1:19" s="8" customFormat="1" ht="12" customHeight="1">
      <c r="B36" s="1352" t="s">
        <v>1321</v>
      </c>
      <c r="C36" s="1353"/>
      <c r="D36" s="1358" t="s">
        <v>3197</v>
      </c>
      <c r="E36" s="2842" t="s">
        <v>193</v>
      </c>
      <c r="F36" s="2839"/>
      <c r="G36" s="2839"/>
      <c r="H36" s="906"/>
      <c r="I36" s="2840"/>
      <c r="J36" s="2840"/>
      <c r="K36" s="2840"/>
      <c r="L36" s="2841"/>
      <c r="M36" s="2841"/>
      <c r="O36" s="3815"/>
      <c r="P36" s="3815"/>
      <c r="Q36" s="3815"/>
    </row>
    <row r="37" spans="1:19" s="8" customFormat="1" ht="12" customHeight="1">
      <c r="B37" s="1356" t="s">
        <v>1765</v>
      </c>
      <c r="C37" s="1357"/>
      <c r="D37" s="248"/>
      <c r="E37" s="220"/>
      <c r="F37" s="2839"/>
      <c r="G37" s="2839"/>
      <c r="H37" s="907"/>
      <c r="I37" s="2840"/>
      <c r="J37" s="2840"/>
      <c r="K37" s="2840"/>
      <c r="L37" s="2841"/>
      <c r="M37" s="2841"/>
      <c r="O37" s="3815"/>
      <c r="P37" s="3815"/>
      <c r="Q37" s="3815"/>
    </row>
    <row r="38" spans="1:19" s="8" customFormat="1" ht="12" customHeight="1">
      <c r="B38" s="1356" t="s">
        <v>711</v>
      </c>
      <c r="C38" s="3824"/>
      <c r="D38" s="3825"/>
      <c r="E38" s="3826"/>
      <c r="F38" s="2843"/>
      <c r="G38" s="2843"/>
      <c r="H38" s="909"/>
      <c r="I38" s="2844"/>
      <c r="J38" s="2844"/>
      <c r="K38" s="2844"/>
      <c r="L38" s="2845"/>
      <c r="M38" s="2845"/>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t="s">
        <v>6994</v>
      </c>
      <c r="C43" s="3817"/>
      <c r="D43" s="3817"/>
      <c r="E43" s="3817"/>
      <c r="F43" s="3817"/>
      <c r="G43" s="3817"/>
      <c r="H43" s="3817"/>
      <c r="I43" s="3817"/>
      <c r="J43" s="3817"/>
      <c r="K43" s="3817"/>
      <c r="L43" s="3817"/>
      <c r="M43" s="3818"/>
      <c r="N43" s="27"/>
      <c r="O43" s="3130" t="s">
        <v>2542</v>
      </c>
      <c r="P43" s="3130"/>
      <c r="Q43" s="3130"/>
      <c r="R43" s="3130"/>
      <c r="S43" s="3130"/>
    </row>
    <row r="44" spans="1:19" s="8" customFormat="1" ht="3" customHeight="1">
      <c r="M44" s="27"/>
      <c r="N44" s="27"/>
      <c r="O44" s="3130"/>
      <c r="P44" s="3130"/>
      <c r="Q44" s="3130"/>
      <c r="R44" s="3130"/>
      <c r="S44" s="3130"/>
    </row>
    <row r="45" spans="1:19" s="8" customFormat="1" ht="12" customHeight="1">
      <c r="A45" s="13"/>
      <c r="B45" s="13" t="s">
        <v>1760</v>
      </c>
      <c r="M45" s="27"/>
      <c r="N45" s="27"/>
      <c r="O45" s="3130"/>
      <c r="P45" s="3130"/>
      <c r="Q45" s="3130"/>
      <c r="R45" s="3130"/>
      <c r="S45" s="3130"/>
    </row>
    <row r="46" spans="1:19" s="8" customFormat="1" ht="24.75" customHeight="1">
      <c r="B46" s="3819"/>
      <c r="C46" s="3820"/>
      <c r="D46" s="3820"/>
      <c r="E46" s="3820"/>
      <c r="F46" s="3820"/>
      <c r="G46" s="3820"/>
      <c r="H46" s="3820"/>
      <c r="I46" s="3820"/>
      <c r="J46" s="3820"/>
      <c r="K46" s="3820"/>
      <c r="L46" s="3820"/>
      <c r="M46" s="3821"/>
      <c r="N46" s="27"/>
      <c r="O46" s="3130"/>
      <c r="P46" s="3130"/>
      <c r="Q46" s="3130"/>
      <c r="R46" s="3130"/>
      <c r="S46" s="3130"/>
    </row>
  </sheetData>
  <sheetProtection algorithmName="SHA-512" hashValue="xMq5eK61BjDbpS0hneGJrvXWJCGwgWsDscR7kAOY8ndxrRdsCnlwCo9nXi19UvPjNnxqTN5x1dASbO6mJAFdXA==" saltValue="NJase4KO5td6eW3WstMQs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C6E645-4CD4-4FF6-AB2B-4E85004F0CD0}">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4425f765-7ff5-4475-924d-a1e4ebf7f4e1"/>
    <ds:schemaRef ds:uri="431100d4-4470-42c1-96bc-46686c1829ae"/>
    <ds:schemaRef ds:uri="http://www.w3.org/XML/1998/namespace"/>
    <ds:schemaRef ds:uri="http://purl.org/dc/dcmitype/"/>
  </ds:schemaRefs>
</ds:datastoreItem>
</file>

<file path=customXml/itemProps2.xml><?xml version="1.0" encoding="utf-8"?>
<ds:datastoreItem xmlns:ds="http://schemas.openxmlformats.org/officeDocument/2006/customXml" ds:itemID="{B53682A4-0F25-4590-9D0A-F17E9841E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CC968A-C1A0-4A17-9C9C-195FDE2A06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 B-USDA 538 Loan</vt:lpstr>
      <vt:lpstr>Part III C-HUD Insured Loan</vt:lpstr>
      <vt:lpstr>Part III-Sources of Funds</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2021-05-17T14:04:08Z</cp:lastPrinted>
  <dcterms:created xsi:type="dcterms:W3CDTF">2005-09-15T20:51:37Z</dcterms:created>
  <dcterms:modified xsi:type="dcterms:W3CDTF">2021-10-07T16:51:36Z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