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D8DDF820-ECBB-448A-86E3-B703569FB2BF}" xr6:coauthVersionLast="44" xr6:coauthVersionMax="44" xr10:uidLastSave="{00000000-0000-0000-0000-000000000000}"/>
  <workbookProtection workbookAlgorithmName="SHA-512" workbookHashValue="Fox+DfMwXFSktLNTC6t6c8ANpJTNK00BqHUg1Lle0reQXwfSRqUNLWZfmBCxkGQMTb7hIBGGV41DtCEYaZYHMw==" workbookSaltValue="KtPoK04q0bOYWm1gfXfagw==" workbookSpinCount="100000" lockStructure="1"/>
  <bookViews>
    <workbookView xWindow="1092" yWindow="1908" windowWidth="20964" windowHeight="61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J13" i="78" l="1"/>
  <c r="G13" i="78"/>
  <c r="B94" i="74" l="1"/>
  <c r="H121" i="66" l="1"/>
  <c r="I50" i="68" l="1"/>
  <c r="L236" i="75" l="1"/>
  <c r="J124" i="78"/>
  <c r="J29" i="78"/>
  <c r="G29"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2" i="94"/>
  <c r="K1820" i="94"/>
  <c r="M1820" i="94" s="1"/>
  <c r="F1812" i="94"/>
  <c r="Q1783" i="94"/>
  <c r="Q1781" i="94"/>
  <c r="Q1780" i="94"/>
  <c r="L1769" i="94"/>
  <c r="J1769" i="94"/>
  <c r="Q1754" i="94"/>
  <c r="Q1753" i="94"/>
  <c r="F1748" i="94"/>
  <c r="Q1747" i="94"/>
  <c r="J1730" i="94"/>
  <c r="K1707" i="94"/>
  <c r="O1691" i="94"/>
  <c r="P1688" i="94" s="1"/>
  <c r="J1691" i="94"/>
  <c r="P1684" i="94" s="1"/>
  <c r="F1691" i="94"/>
  <c r="P1683" i="94"/>
  <c r="P1665" i="94"/>
  <c r="M1661" i="94"/>
  <c r="B1661" i="94"/>
  <c r="A1656" i="94"/>
  <c r="Q276" i="72"/>
  <c r="M1925" i="94" l="1"/>
  <c r="K1818" i="94"/>
  <c r="M1818" i="94" s="1"/>
  <c r="U1818"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S1822" i="94"/>
  <c r="L1786" i="94"/>
  <c r="F1756" i="94"/>
  <c r="L1975" i="94"/>
  <c r="L2036" i="94"/>
  <c r="H1746" i="94"/>
  <c r="L1774" i="94"/>
  <c r="I1841" i="94"/>
  <c r="K1836" i="94"/>
  <c r="Q1974" i="94"/>
  <c r="L1978" i="94"/>
  <c r="Q1981" i="94"/>
  <c r="R2070" i="94"/>
  <c r="L1869" i="94"/>
  <c r="Q1869"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S1818" i="94"/>
  <c r="A1818"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H982" i="94"/>
  <c r="H984" i="94" s="1"/>
  <c r="L979" i="94"/>
  <c r="K979" i="94"/>
  <c r="J979" i="94"/>
  <c r="I979" i="94"/>
  <c r="H979" i="94"/>
  <c r="L978" i="94"/>
  <c r="L980" i="94" s="1"/>
  <c r="K978" i="94"/>
  <c r="J978" i="94"/>
  <c r="I978" i="94"/>
  <c r="H978" i="94"/>
  <c r="Q974" i="94"/>
  <c r="P974" i="94"/>
  <c r="O974" i="94"/>
  <c r="N974" i="94"/>
  <c r="M974" i="94"/>
  <c r="M975" i="94" s="1"/>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Q971" i="94" s="1"/>
  <c r="P969" i="94"/>
  <c r="O969" i="94"/>
  <c r="N969" i="94"/>
  <c r="M969" i="94"/>
  <c r="L969" i="94"/>
  <c r="K969" i="94"/>
  <c r="J969" i="94"/>
  <c r="I969" i="94"/>
  <c r="H969" i="94"/>
  <c r="Q965" i="94"/>
  <c r="P965" i="94"/>
  <c r="O965" i="94"/>
  <c r="N965" i="94"/>
  <c r="M965" i="94"/>
  <c r="L965" i="94"/>
  <c r="K965" i="94"/>
  <c r="J965" i="94"/>
  <c r="I965" i="94"/>
  <c r="H965" i="94"/>
  <c r="Q964" i="94"/>
  <c r="P964" i="94"/>
  <c r="O964" i="94"/>
  <c r="O966" i="94" s="1"/>
  <c r="N964" i="94"/>
  <c r="M964" i="94"/>
  <c r="M966" i="94" s="1"/>
  <c r="L964" i="94"/>
  <c r="K964" i="94"/>
  <c r="J964" i="94"/>
  <c r="I964" i="94"/>
  <c r="H964" i="94"/>
  <c r="Q961" i="94"/>
  <c r="P961" i="94"/>
  <c r="O961" i="94"/>
  <c r="N961" i="94"/>
  <c r="M961" i="94"/>
  <c r="L961" i="94"/>
  <c r="K961" i="94"/>
  <c r="J961" i="94"/>
  <c r="I961" i="94"/>
  <c r="H961" i="94"/>
  <c r="Q960" i="94"/>
  <c r="P960" i="94"/>
  <c r="O960" i="94"/>
  <c r="N960" i="94"/>
  <c r="M960" i="94"/>
  <c r="L960" i="94"/>
  <c r="K960" i="94"/>
  <c r="K962" i="94" s="1"/>
  <c r="J960" i="94"/>
  <c r="I960" i="94"/>
  <c r="I962" i="94" s="1"/>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N953" i="94" s="1"/>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NA790" i="94" s="1"/>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LR812" i="94" s="1"/>
  <c r="C812" i="94"/>
  <c r="D812" i="94"/>
  <c r="E812" i="94"/>
  <c r="F812" i="94"/>
  <c r="G812" i="94"/>
  <c r="H812" i="94"/>
  <c r="I812" i="94"/>
  <c r="B813" i="94"/>
  <c r="LT813" i="94" s="1"/>
  <c r="C813" i="94"/>
  <c r="D813" i="94"/>
  <c r="E813" i="94"/>
  <c r="F813" i="94"/>
  <c r="G813" i="94"/>
  <c r="H813" i="94"/>
  <c r="I813" i="94"/>
  <c r="B814" i="94"/>
  <c r="FI814" i="94" s="1"/>
  <c r="C814" i="94"/>
  <c r="MJ814" i="94" s="1"/>
  <c r="D814" i="94"/>
  <c r="E814" i="94"/>
  <c r="F814" i="94"/>
  <c r="G814" i="94"/>
  <c r="H814" i="94"/>
  <c r="I814" i="94"/>
  <c r="B815" i="94"/>
  <c r="LS815" i="94" s="1"/>
  <c r="C815" i="94"/>
  <c r="FN815" i="94" s="1"/>
  <c r="D815" i="94"/>
  <c r="E815" i="94"/>
  <c r="F815" i="94"/>
  <c r="G815" i="94"/>
  <c r="H815" i="94"/>
  <c r="I815" i="94"/>
  <c r="B816" i="94"/>
  <c r="LS816" i="94" s="1"/>
  <c r="C816" i="94"/>
  <c r="ML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Q975" i="94"/>
  <c r="J975" i="94"/>
  <c r="I975" i="94"/>
  <c r="S972" i="94"/>
  <c r="M971" i="94"/>
  <c r="K971" i="94"/>
  <c r="T968" i="94"/>
  <c r="Q966" i="94"/>
  <c r="I966" i="94"/>
  <c r="S963" i="94"/>
  <c r="Q962" i="94"/>
  <c r="M962" i="94"/>
  <c r="T959" i="94"/>
  <c r="Q957" i="94"/>
  <c r="I957" i="94"/>
  <c r="S954" i="94"/>
  <c r="M953" i="94"/>
  <c r="L953" i="94"/>
  <c r="S950" i="94"/>
  <c r="S949" i="94"/>
  <c r="S947" i="94"/>
  <c r="S927" i="94"/>
  <c r="S917" i="94"/>
  <c r="S916" i="94"/>
  <c r="L916" i="94"/>
  <c r="S895" i="94"/>
  <c r="S881" i="94"/>
  <c r="S872" i="94"/>
  <c r="S871" i="94"/>
  <c r="L871" i="94"/>
  <c r="S861" i="94"/>
  <c r="S838" i="94"/>
  <c r="S822" i="94"/>
  <c r="L822" i="94"/>
  <c r="E818" i="94"/>
  <c r="NE817" i="94"/>
  <c r="MK816" i="94"/>
  <c r="LY816" i="94"/>
  <c r="IC816" i="94"/>
  <c r="HV816" i="94"/>
  <c r="HM816" i="94"/>
  <c r="HF816" i="94"/>
  <c r="GW816" i="94"/>
  <c r="GP816" i="94"/>
  <c r="GG816" i="94"/>
  <c r="FX816" i="94"/>
  <c r="FW816" i="94"/>
  <c r="FO816" i="94"/>
  <c r="FH816" i="94"/>
  <c r="EY816" i="94"/>
  <c r="ER816" i="94"/>
  <c r="EI816" i="94"/>
  <c r="EB816" i="94"/>
  <c r="DM816" i="94"/>
  <c r="DC816" i="94"/>
  <c r="DA816" i="94"/>
  <c r="CQ816" i="94"/>
  <c r="CI816" i="94"/>
  <c r="CG816" i="94"/>
  <c r="BY816" i="94"/>
  <c r="BR816" i="94"/>
  <c r="BQ816" i="94"/>
  <c r="BI816" i="94"/>
  <c r="BB816" i="94"/>
  <c r="BA816" i="94"/>
  <c r="AS816" i="94"/>
  <c r="AL816" i="94"/>
  <c r="AK816" i="94"/>
  <c r="AC816" i="94"/>
  <c r="LZ815" i="94"/>
  <c r="LY815" i="94"/>
  <c r="LQ815" i="94"/>
  <c r="FV815" i="94"/>
  <c r="FT815" i="94"/>
  <c r="FL815" i="94"/>
  <c r="FF815" i="94"/>
  <c r="FD815" i="94"/>
  <c r="EV815" i="94"/>
  <c r="EP815" i="94"/>
  <c r="EN815" i="94"/>
  <c r="EF815" i="94"/>
  <c r="BH815" i="94"/>
  <c r="BF815" i="94"/>
  <c r="AX815" i="94"/>
  <c r="AR815" i="94"/>
  <c r="AP815" i="94"/>
  <c r="AH815" i="94"/>
  <c r="AB815" i="94"/>
  <c r="Z815" i="94"/>
  <c r="MI814" i="94"/>
  <c r="MB814" i="94"/>
  <c r="MA814" i="94"/>
  <c r="LU814" i="94"/>
  <c r="LQ814" i="94"/>
  <c r="ID814" i="94"/>
  <c r="HY814" i="94"/>
  <c r="HU814" i="94"/>
  <c r="HT814" i="94"/>
  <c r="HN814" i="94"/>
  <c r="HJ814" i="94"/>
  <c r="HI814" i="94"/>
  <c r="HD814" i="94"/>
  <c r="GY814" i="94"/>
  <c r="GX814" i="94"/>
  <c r="GS814" i="94"/>
  <c r="GO814" i="94"/>
  <c r="GN814" i="94"/>
  <c r="GH814" i="94"/>
  <c r="GD814" i="94"/>
  <c r="GC814" i="94"/>
  <c r="FR814" i="94"/>
  <c r="FN814" i="94"/>
  <c r="FM814" i="94"/>
  <c r="FG814" i="94"/>
  <c r="FD814" i="94"/>
  <c r="FB814" i="94"/>
  <c r="EW814" i="94"/>
  <c r="ET814" i="94"/>
  <c r="ES814" i="94"/>
  <c r="EO814" i="94"/>
  <c r="EL814" i="94"/>
  <c r="EK814" i="94"/>
  <c r="EH814" i="94"/>
  <c r="EG814" i="94"/>
  <c r="ED814" i="94"/>
  <c r="BK814" i="94"/>
  <c r="BG814" i="94"/>
  <c r="BD814" i="94"/>
  <c r="BC814" i="94"/>
  <c r="AY814" i="94"/>
  <c r="AV814" i="94"/>
  <c r="AU814" i="94"/>
  <c r="AQ814" i="94"/>
  <c r="AN814" i="94"/>
  <c r="AM814" i="94"/>
  <c r="AJ814" i="94"/>
  <c r="AI814" i="94"/>
  <c r="AG814" i="94"/>
  <c r="AE814" i="94"/>
  <c r="AC814" i="94"/>
  <c r="AB814" i="94"/>
  <c r="Y814" i="94"/>
  <c r="X814" i="94"/>
  <c r="LZ813" i="94"/>
  <c r="LS813" i="94"/>
  <c r="LR813" i="94"/>
  <c r="GF813" i="94"/>
  <c r="GE813" i="94"/>
  <c r="GD813" i="94"/>
  <c r="FS813" i="94"/>
  <c r="FR813" i="94"/>
  <c r="FK813" i="94"/>
  <c r="FJ813" i="94"/>
  <c r="FI813" i="94"/>
  <c r="FB813" i="94"/>
  <c r="FA813" i="94"/>
  <c r="EV813" i="94"/>
  <c r="ET813" i="94"/>
  <c r="EQ813" i="94"/>
  <c r="EN813" i="94"/>
  <c r="EK813" i="94"/>
  <c r="EI813" i="94"/>
  <c r="EF813" i="94"/>
  <c r="ED813" i="94"/>
  <c r="DQ813" i="94"/>
  <c r="CK813" i="94"/>
  <c r="BI813" i="94"/>
  <c r="BG813" i="94"/>
  <c r="BB813" i="94"/>
  <c r="BA813" i="94"/>
  <c r="AW813" i="94"/>
  <c r="AT813" i="94"/>
  <c r="AS813" i="94"/>
  <c r="AO813" i="94"/>
  <c r="AL813" i="94"/>
  <c r="AJ813" i="94"/>
  <c r="AG813" i="94"/>
  <c r="AC813" i="94"/>
  <c r="AB813" i="94"/>
  <c r="AA813" i="94"/>
  <c r="MO812" i="94"/>
  <c r="MN812" i="94"/>
  <c r="MM812" i="94"/>
  <c r="MK812" i="94"/>
  <c r="MJ812" i="94"/>
  <c r="MI812" i="94"/>
  <c r="MG812" i="94"/>
  <c r="MF812" i="94"/>
  <c r="ME812" i="94"/>
  <c r="MC812" i="94"/>
  <c r="MB812" i="94"/>
  <c r="MA812" i="94"/>
  <c r="LY812" i="94"/>
  <c r="LX812" i="94"/>
  <c r="LW812" i="94"/>
  <c r="LU812" i="94"/>
  <c r="LT812" i="94"/>
  <c r="LS812" i="94"/>
  <c r="LQ812" i="94"/>
  <c r="LC812" i="94"/>
  <c r="JO812" i="94"/>
  <c r="ID812" i="94"/>
  <c r="IC812" i="94"/>
  <c r="IB812" i="94"/>
  <c r="HZ812" i="94"/>
  <c r="HY812" i="94"/>
  <c r="HX812" i="94"/>
  <c r="HV812" i="94"/>
  <c r="HU812" i="94"/>
  <c r="HT812" i="94"/>
  <c r="HR812" i="94"/>
  <c r="HQ812" i="94"/>
  <c r="HP812" i="94"/>
  <c r="HN812" i="94"/>
  <c r="HM812" i="94"/>
  <c r="HL812" i="94"/>
  <c r="HJ812" i="94"/>
  <c r="HI812" i="94"/>
  <c r="HH812" i="94"/>
  <c r="HF812" i="94"/>
  <c r="HE812" i="94"/>
  <c r="HD812" i="94"/>
  <c r="HB812" i="94"/>
  <c r="HA812" i="94"/>
  <c r="GZ812" i="94"/>
  <c r="GX812" i="94"/>
  <c r="GW812" i="94"/>
  <c r="GV812" i="94"/>
  <c r="GT812" i="94"/>
  <c r="GS812" i="94"/>
  <c r="GR812" i="94"/>
  <c r="GP812" i="94"/>
  <c r="GO812" i="94"/>
  <c r="GN812" i="94"/>
  <c r="GL812" i="94"/>
  <c r="GK812" i="94"/>
  <c r="GJ812" i="94"/>
  <c r="GH812" i="94"/>
  <c r="GG812" i="94"/>
  <c r="GF812" i="94"/>
  <c r="GD812" i="94"/>
  <c r="GC812" i="94"/>
  <c r="GB812" i="94"/>
  <c r="FZ812" i="94"/>
  <c r="FY812" i="94"/>
  <c r="FW812" i="94"/>
  <c r="FU812" i="94"/>
  <c r="FT812" i="94"/>
  <c r="FS812" i="94"/>
  <c r="FQ812" i="94"/>
  <c r="FP812" i="94"/>
  <c r="FO812" i="94"/>
  <c r="FM812" i="94"/>
  <c r="FL812" i="94"/>
  <c r="FK812" i="94"/>
  <c r="FI812" i="94"/>
  <c r="FH812" i="94"/>
  <c r="FG812" i="94"/>
  <c r="FE812" i="94"/>
  <c r="FD812" i="94"/>
  <c r="FC812" i="94"/>
  <c r="FA812" i="94"/>
  <c r="EZ812" i="94"/>
  <c r="EY812" i="94"/>
  <c r="EW812" i="94"/>
  <c r="EV812" i="94"/>
  <c r="EU812" i="94"/>
  <c r="ES812" i="94"/>
  <c r="ER812" i="94"/>
  <c r="EQ812" i="94"/>
  <c r="EO812" i="94"/>
  <c r="EN812" i="94"/>
  <c r="EM812" i="94"/>
  <c r="EK812" i="94"/>
  <c r="EJ812" i="94"/>
  <c r="EI812" i="94"/>
  <c r="EG812" i="94"/>
  <c r="EF812" i="94"/>
  <c r="EE812" i="94"/>
  <c r="EC812" i="94"/>
  <c r="EB812" i="94"/>
  <c r="EA812" i="94"/>
  <c r="DY812" i="94"/>
  <c r="DX812" i="94"/>
  <c r="DW812" i="94"/>
  <c r="DU812" i="94"/>
  <c r="DT812" i="94"/>
  <c r="DS812" i="94"/>
  <c r="DQ812" i="94"/>
  <c r="DP812" i="94"/>
  <c r="DO812" i="94"/>
  <c r="DM812" i="94"/>
  <c r="DL812" i="94"/>
  <c r="DK812" i="94"/>
  <c r="DI812" i="94"/>
  <c r="DH812" i="94"/>
  <c r="DG812" i="94"/>
  <c r="DE812" i="94"/>
  <c r="DD812" i="94"/>
  <c r="DC812" i="94"/>
  <c r="DA812" i="94"/>
  <c r="CZ812" i="94"/>
  <c r="CY812" i="94"/>
  <c r="CW812" i="94"/>
  <c r="CV812" i="94"/>
  <c r="CU812" i="94"/>
  <c r="CS812" i="94"/>
  <c r="CR812" i="94"/>
  <c r="CQ812" i="94"/>
  <c r="CO812" i="94"/>
  <c r="CN812" i="94"/>
  <c r="CM812" i="94"/>
  <c r="CK812" i="94"/>
  <c r="CJ812" i="94"/>
  <c r="CI812" i="94"/>
  <c r="CG812" i="94"/>
  <c r="CF812" i="94"/>
  <c r="CE812" i="94"/>
  <c r="CC812" i="94"/>
  <c r="CB812" i="94"/>
  <c r="CA812" i="94"/>
  <c r="BY812" i="94"/>
  <c r="BX812" i="94"/>
  <c r="BW812" i="94"/>
  <c r="BU812" i="94"/>
  <c r="BT812" i="94"/>
  <c r="BS812" i="94"/>
  <c r="BQ812" i="94"/>
  <c r="BP812" i="94"/>
  <c r="BO812" i="94"/>
  <c r="BM812" i="94"/>
  <c r="BL812" i="94"/>
  <c r="BK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MZ792" i="94"/>
  <c r="MO792" i="94"/>
  <c r="ML792" i="94"/>
  <c r="MK792" i="94"/>
  <c r="MH792" i="94"/>
  <c r="MG792" i="94"/>
  <c r="MD792" i="94"/>
  <c r="MC792" i="94"/>
  <c r="LZ792" i="94"/>
  <c r="LY792" i="94"/>
  <c r="LV792" i="94"/>
  <c r="LU792" i="94"/>
  <c r="LR792" i="94"/>
  <c r="LQ792" i="94"/>
  <c r="LN792" i="94"/>
  <c r="LM792" i="94"/>
  <c r="LJ792" i="94"/>
  <c r="LI792" i="94"/>
  <c r="LF792" i="94"/>
  <c r="LE792" i="94"/>
  <c r="LB792" i="94"/>
  <c r="LA792" i="94"/>
  <c r="KX792" i="94"/>
  <c r="KW792" i="94"/>
  <c r="KT792" i="94"/>
  <c r="KS792" i="94"/>
  <c r="KP792" i="94"/>
  <c r="KO792" i="94"/>
  <c r="KL792" i="94"/>
  <c r="KK792" i="94"/>
  <c r="KH792" i="94"/>
  <c r="KG792" i="94"/>
  <c r="KD792" i="94"/>
  <c r="KC792" i="94"/>
  <c r="JZ792" i="94"/>
  <c r="JY792" i="94"/>
  <c r="JV792" i="94"/>
  <c r="JU792" i="94"/>
  <c r="JR792" i="94"/>
  <c r="JQ792" i="94"/>
  <c r="JN792" i="94"/>
  <c r="JM792" i="94"/>
  <c r="JJ792" i="94"/>
  <c r="JI792" i="94"/>
  <c r="JF792" i="94"/>
  <c r="JE792" i="94"/>
  <c r="JB792" i="94"/>
  <c r="JA792" i="94"/>
  <c r="IX792" i="94"/>
  <c r="IW792" i="94"/>
  <c r="IT792" i="94"/>
  <c r="IS792" i="94"/>
  <c r="IP792" i="94"/>
  <c r="IO792" i="94"/>
  <c r="IL792" i="94"/>
  <c r="IK792" i="94"/>
  <c r="IH792" i="94"/>
  <c r="IG792" i="94"/>
  <c r="ID792" i="94"/>
  <c r="IC792" i="94"/>
  <c r="HZ792" i="94"/>
  <c r="HY792" i="94"/>
  <c r="HV792" i="94"/>
  <c r="HU792" i="94"/>
  <c r="HR792" i="94"/>
  <c r="HQ792" i="94"/>
  <c r="HN792" i="94"/>
  <c r="HM792" i="94"/>
  <c r="HJ792" i="94"/>
  <c r="HI792" i="94"/>
  <c r="HF792" i="94"/>
  <c r="HE792" i="94"/>
  <c r="HB792" i="94"/>
  <c r="HA792" i="94"/>
  <c r="GX792" i="94"/>
  <c r="GW792" i="94"/>
  <c r="GT792" i="94"/>
  <c r="GS792" i="94"/>
  <c r="GP792" i="94"/>
  <c r="GO792" i="94"/>
  <c r="GL792" i="94"/>
  <c r="GK792" i="94"/>
  <c r="GH792" i="94"/>
  <c r="GG792" i="94"/>
  <c r="GD792" i="94"/>
  <c r="GC792" i="94"/>
  <c r="FZ792" i="94"/>
  <c r="FY792" i="94"/>
  <c r="FV792" i="94"/>
  <c r="FU792" i="94"/>
  <c r="FR792" i="94"/>
  <c r="FQ792" i="94"/>
  <c r="FN792" i="94"/>
  <c r="FM792" i="94"/>
  <c r="FJ792" i="94"/>
  <c r="FI792" i="94"/>
  <c r="FF792" i="94"/>
  <c r="FE792" i="94"/>
  <c r="FB792" i="94"/>
  <c r="FA792" i="94"/>
  <c r="EX792" i="94"/>
  <c r="EW792" i="94"/>
  <c r="ET792" i="94"/>
  <c r="ES792" i="94"/>
  <c r="EP792" i="94"/>
  <c r="EO792" i="94"/>
  <c r="EL792" i="94"/>
  <c r="EK792" i="94"/>
  <c r="EH792" i="94"/>
  <c r="EG792" i="94"/>
  <c r="ED792" i="94"/>
  <c r="EC792" i="94"/>
  <c r="DZ792" i="94"/>
  <c r="DY792" i="94"/>
  <c r="DV792" i="94"/>
  <c r="DU792" i="94"/>
  <c r="DR792" i="94"/>
  <c r="DQ792" i="94"/>
  <c r="DN792" i="94"/>
  <c r="DM792" i="94"/>
  <c r="DJ792" i="94"/>
  <c r="DI792" i="94"/>
  <c r="DF792" i="94"/>
  <c r="DE792" i="94"/>
  <c r="DB792" i="94"/>
  <c r="DA792" i="94"/>
  <c r="CX792" i="94"/>
  <c r="CW792" i="94"/>
  <c r="CT792" i="94"/>
  <c r="CS792" i="94"/>
  <c r="CP792" i="94"/>
  <c r="CO792" i="94"/>
  <c r="CL792" i="94"/>
  <c r="CK792" i="94"/>
  <c r="CH792" i="94"/>
  <c r="CG792" i="94"/>
  <c r="CD792" i="94"/>
  <c r="CC792" i="94"/>
  <c r="BZ792" i="94"/>
  <c r="BY792" i="94"/>
  <c r="BV792" i="94"/>
  <c r="BU792" i="94"/>
  <c r="BR792" i="94"/>
  <c r="BQ792" i="94"/>
  <c r="BN792" i="94"/>
  <c r="BM792" i="94"/>
  <c r="BJ792" i="94"/>
  <c r="BI792" i="94"/>
  <c r="BF792" i="94"/>
  <c r="BE792" i="94"/>
  <c r="BB792" i="94"/>
  <c r="BA792" i="94"/>
  <c r="AX792" i="94"/>
  <c r="AW792" i="94"/>
  <c r="AT792" i="94"/>
  <c r="AS792" i="94"/>
  <c r="AP792" i="94"/>
  <c r="AO792" i="94"/>
  <c r="AL792" i="94"/>
  <c r="AK792" i="94"/>
  <c r="AH792" i="94"/>
  <c r="AG792" i="94"/>
  <c r="AD792" i="94"/>
  <c r="AC792" i="94"/>
  <c r="Z792" i="94"/>
  <c r="Y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B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IB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A788" i="94"/>
  <c r="MZ788" i="94"/>
  <c r="MO788" i="94"/>
  <c r="MN788" i="94"/>
  <c r="MK788" i="94"/>
  <c r="MJ788" i="94"/>
  <c r="MG788" i="94"/>
  <c r="MF788" i="94"/>
  <c r="MC788" i="94"/>
  <c r="MB788" i="94"/>
  <c r="LZ788" i="94"/>
  <c r="LY788" i="94"/>
  <c r="LX788" i="94"/>
  <c r="LW788" i="94"/>
  <c r="LV788" i="94"/>
  <c r="LU788" i="94"/>
  <c r="LT788" i="94"/>
  <c r="LS788" i="94"/>
  <c r="LR788" i="94"/>
  <c r="LQ788" i="94"/>
  <c r="LP788" i="94"/>
  <c r="LO788" i="94"/>
  <c r="LK788" i="94"/>
  <c r="LH788" i="94"/>
  <c r="LG788" i="94"/>
  <c r="LC788" i="94"/>
  <c r="KZ788" i="94"/>
  <c r="KY788" i="94"/>
  <c r="KU788" i="94"/>
  <c r="KR788" i="94"/>
  <c r="KQ788" i="94"/>
  <c r="KM788" i="94"/>
  <c r="KJ788" i="94"/>
  <c r="KI788" i="94"/>
  <c r="KE788" i="94"/>
  <c r="KB788" i="94"/>
  <c r="KA788" i="94"/>
  <c r="JW788" i="94"/>
  <c r="JT788" i="94"/>
  <c r="JS788" i="94"/>
  <c r="JO788" i="94"/>
  <c r="JL788" i="94"/>
  <c r="JK788" i="94"/>
  <c r="JG788" i="94"/>
  <c r="JD788" i="94"/>
  <c r="JC788" i="94"/>
  <c r="IY788" i="94"/>
  <c r="IV788" i="94"/>
  <c r="IU788" i="94"/>
  <c r="IQ788" i="94"/>
  <c r="IN788" i="94"/>
  <c r="IM788" i="94"/>
  <c r="II788" i="94"/>
  <c r="IF788" i="94"/>
  <c r="IE788" i="94"/>
  <c r="IC788" i="94"/>
  <c r="IB788" i="94"/>
  <c r="IA788" i="94"/>
  <c r="HY788" i="94"/>
  <c r="HX788" i="94"/>
  <c r="HU788" i="94"/>
  <c r="HT788" i="94"/>
  <c r="HQ788" i="94"/>
  <c r="HP788" i="94"/>
  <c r="HM788" i="94"/>
  <c r="HL788" i="94"/>
  <c r="HI788" i="94"/>
  <c r="HH788" i="94"/>
  <c r="HE788" i="94"/>
  <c r="HD788" i="94"/>
  <c r="HA788" i="94"/>
  <c r="GZ788" i="94"/>
  <c r="GW788" i="94"/>
  <c r="GV788" i="94"/>
  <c r="GS788" i="94"/>
  <c r="GR788" i="94"/>
  <c r="GO788" i="94"/>
  <c r="GN788" i="94"/>
  <c r="GK788" i="94"/>
  <c r="GJ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B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L782" i="94"/>
  <c r="LH782" i="94"/>
  <c r="LD782" i="94"/>
  <c r="KZ782" i="94"/>
  <c r="KV782" i="94"/>
  <c r="KR782" i="94"/>
  <c r="KN782" i="94"/>
  <c r="KJ782" i="94"/>
  <c r="KF782" i="94"/>
  <c r="KB782" i="94"/>
  <c r="JX782" i="94"/>
  <c r="JT782" i="94"/>
  <c r="JP782" i="94"/>
  <c r="JL782" i="94"/>
  <c r="JH782" i="94"/>
  <c r="JD782" i="94"/>
  <c r="IZ782" i="94"/>
  <c r="IV782" i="94"/>
  <c r="IR782" i="94"/>
  <c r="IN782" i="94"/>
  <c r="IJ782" i="94"/>
  <c r="IF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L788" i="94" l="1"/>
  <c r="MM788" i="94"/>
  <c r="IG790" i="94"/>
  <c r="IO790" i="94"/>
  <c r="IW790" i="94"/>
  <c r="JE790" i="94"/>
  <c r="JM790" i="94"/>
  <c r="JU790" i="94"/>
  <c r="KC790" i="94"/>
  <c r="KK790" i="94"/>
  <c r="KS790" i="94"/>
  <c r="LA790" i="94"/>
  <c r="LI790" i="94"/>
  <c r="IC790" i="94"/>
  <c r="IK790" i="94"/>
  <c r="IS790" i="94"/>
  <c r="JA790" i="94"/>
  <c r="JI790" i="94"/>
  <c r="JQ790" i="94"/>
  <c r="JY790" i="94"/>
  <c r="KG790" i="94"/>
  <c r="KO790" i="94"/>
  <c r="KW790" i="94"/>
  <c r="LE790" i="94"/>
  <c r="LM790" i="94"/>
  <c r="NC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MZ790" i="94"/>
  <c r="ND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HG791" i="94"/>
  <c r="HZ788" i="94"/>
  <c r="ID788" i="94"/>
  <c r="IJ788" i="94"/>
  <c r="IR788" i="94"/>
  <c r="IZ788" i="94"/>
  <c r="JH788" i="94"/>
  <c r="JP788" i="94"/>
  <c r="JX788" i="94"/>
  <c r="KF788" i="94"/>
  <c r="KN788" i="94"/>
  <c r="KV788" i="94"/>
  <c r="LD788" i="94"/>
  <c r="NC788" i="94"/>
  <c r="NA782" i="94"/>
  <c r="JE781"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B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GH788" i="94"/>
  <c r="GL788" i="94"/>
  <c r="GP788" i="94"/>
  <c r="GT788" i="94"/>
  <c r="GX788" i="94"/>
  <c r="HB788" i="94"/>
  <c r="HF788" i="94"/>
  <c r="HJ788" i="94"/>
  <c r="HN788" i="94"/>
  <c r="HR788" i="94"/>
  <c r="HV788" i="94"/>
  <c r="MD788" i="94"/>
  <c r="MH788" i="94"/>
  <c r="ML788" i="94"/>
  <c r="GI788" i="94"/>
  <c r="GM788" i="94"/>
  <c r="GQ788" i="94"/>
  <c r="GU788" i="94"/>
  <c r="GY788" i="94"/>
  <c r="HC788" i="94"/>
  <c r="HG788" i="94"/>
  <c r="HK788" i="94"/>
  <c r="HO788" i="94"/>
  <c r="HS788" i="94"/>
  <c r="HW788" i="94"/>
  <c r="MA788" i="94"/>
  <c r="ME788" i="94"/>
  <c r="MI788" i="94"/>
  <c r="NB792" i="94"/>
  <c r="AA792" i="94"/>
  <c r="AE792" i="94"/>
  <c r="AI792" i="94"/>
  <c r="AM792" i="94"/>
  <c r="AM817" i="94" s="1"/>
  <c r="K828" i="94" s="1"/>
  <c r="K848" i="94" s="1"/>
  <c r="AQ792" i="94"/>
  <c r="AU792" i="94"/>
  <c r="AU817" i="94" s="1"/>
  <c r="N829" i="94" s="1"/>
  <c r="N851" i="94" s="1"/>
  <c r="AY792" i="94"/>
  <c r="BC792" i="94"/>
  <c r="BC817" i="94" s="1"/>
  <c r="L831" i="94" s="1"/>
  <c r="L857" i="94" s="1"/>
  <c r="BG792" i="94"/>
  <c r="BK792" i="94"/>
  <c r="BO792" i="94"/>
  <c r="BS792" i="94"/>
  <c r="BW792" i="94"/>
  <c r="CA792" i="94"/>
  <c r="CE792" i="94"/>
  <c r="CI792" i="94"/>
  <c r="CM792" i="94"/>
  <c r="CQ792" i="94"/>
  <c r="CU792" i="94"/>
  <c r="CY792" i="94"/>
  <c r="DC792" i="94"/>
  <c r="DG792" i="94"/>
  <c r="DK792" i="94"/>
  <c r="DO792" i="94"/>
  <c r="DS792" i="94"/>
  <c r="DW792" i="94"/>
  <c r="EA792" i="94"/>
  <c r="EE792" i="94"/>
  <c r="EE817" i="94" s="1"/>
  <c r="L835" i="94" s="1"/>
  <c r="EI792" i="94"/>
  <c r="EM792" i="94"/>
  <c r="EQ792" i="94"/>
  <c r="EU792" i="94"/>
  <c r="EU817" i="94" s="1"/>
  <c r="M930" i="94" s="1"/>
  <c r="EY792" i="94"/>
  <c r="FC792" i="94"/>
  <c r="FG792" i="94"/>
  <c r="FG817" i="94" s="1"/>
  <c r="O932" i="94" s="1"/>
  <c r="FK792" i="94"/>
  <c r="FO792" i="94"/>
  <c r="FS792" i="94"/>
  <c r="FS817" i="94" s="1"/>
  <c r="L936" i="94" s="1"/>
  <c r="FW792" i="94"/>
  <c r="GA792" i="94"/>
  <c r="GE792" i="94"/>
  <c r="GI792" i="94"/>
  <c r="GM792" i="94"/>
  <c r="GQ792" i="94"/>
  <c r="GU792" i="94"/>
  <c r="GY792" i="94"/>
  <c r="HC792" i="94"/>
  <c r="HG792" i="94"/>
  <c r="HK792" i="94"/>
  <c r="HO792" i="94"/>
  <c r="HS792" i="94"/>
  <c r="HW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S792" i="94"/>
  <c r="LW792" i="94"/>
  <c r="MA792" i="94"/>
  <c r="ME792" i="94"/>
  <c r="MI792" i="94"/>
  <c r="MM792" i="94"/>
  <c r="NA792" i="94"/>
  <c r="X792" i="94"/>
  <c r="X817" i="94" s="1"/>
  <c r="K825" i="94" s="1"/>
  <c r="K839" i="94" s="1"/>
  <c r="AB792" i="94"/>
  <c r="AF792" i="94"/>
  <c r="AJ792" i="94"/>
  <c r="AN792" i="94"/>
  <c r="AN817" i="94" s="1"/>
  <c r="L828" i="94" s="1"/>
  <c r="L848" i="94" s="1"/>
  <c r="AR792" i="94"/>
  <c r="AV792" i="94"/>
  <c r="AV817" i="94" s="1"/>
  <c r="O829" i="94" s="1"/>
  <c r="AZ792" i="94"/>
  <c r="AZ817" i="94" s="1"/>
  <c r="N830" i="94" s="1"/>
  <c r="N854" i="94" s="1"/>
  <c r="BD792" i="94"/>
  <c r="BD817" i="94" s="1"/>
  <c r="M831" i="94" s="1"/>
  <c r="M857" i="94" s="1"/>
  <c r="BH792" i="94"/>
  <c r="BL792" i="94"/>
  <c r="BP792" i="94"/>
  <c r="BT792" i="94"/>
  <c r="BX792" i="94"/>
  <c r="CB792" i="94"/>
  <c r="CF792" i="94"/>
  <c r="CJ792" i="94"/>
  <c r="CN792" i="94"/>
  <c r="CR792" i="94"/>
  <c r="CV792" i="94"/>
  <c r="CZ792" i="94"/>
  <c r="DD792" i="94"/>
  <c r="DH792" i="94"/>
  <c r="DL792" i="94"/>
  <c r="DP792" i="94"/>
  <c r="DT792" i="94"/>
  <c r="DX792" i="94"/>
  <c r="EB792" i="94"/>
  <c r="EF792" i="94"/>
  <c r="EF817" i="94" s="1"/>
  <c r="M835" i="94" s="1"/>
  <c r="EJ792" i="94"/>
  <c r="EN792" i="94"/>
  <c r="EN817" i="94" s="1"/>
  <c r="K929" i="94" s="1"/>
  <c r="ER792" i="94"/>
  <c r="EV792" i="94"/>
  <c r="EV817" i="94" s="1"/>
  <c r="N930" i="94" s="1"/>
  <c r="EZ792" i="94"/>
  <c r="FD792" i="94"/>
  <c r="FD817" i="94" s="1"/>
  <c r="L932" i="94" s="1"/>
  <c r="FH792" i="94"/>
  <c r="FH817" i="94" s="1"/>
  <c r="K933" i="94" s="1"/>
  <c r="FL792" i="94"/>
  <c r="FP792" i="94"/>
  <c r="FT792" i="94"/>
  <c r="FX792" i="94"/>
  <c r="GB792" i="94"/>
  <c r="GF792" i="94"/>
  <c r="GJ792" i="94"/>
  <c r="GN792" i="94"/>
  <c r="GR792" i="94"/>
  <c r="GV792" i="94"/>
  <c r="GZ792" i="94"/>
  <c r="HD792" i="94"/>
  <c r="HH792" i="94"/>
  <c r="HL792" i="94"/>
  <c r="HP792" i="94"/>
  <c r="HT792" i="94"/>
  <c r="HX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LT792" i="94"/>
  <c r="LX792" i="94"/>
  <c r="MB792" i="94"/>
  <c r="MF792" i="94"/>
  <c r="MJ792" i="94"/>
  <c r="MN792" i="94"/>
  <c r="IO782" i="94"/>
  <c r="IW782" i="94"/>
  <c r="JA782" i="94"/>
  <c r="JM782" i="94"/>
  <c r="JY782" i="94"/>
  <c r="KG782" i="94"/>
  <c r="KO782" i="94"/>
  <c r="KW782" i="94"/>
  <c r="LA782" i="94"/>
  <c r="LI782" i="94"/>
  <c r="LM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Z782" i="94"/>
  <c r="ND782" i="94"/>
  <c r="IG782" i="94"/>
  <c r="IK782" i="94"/>
  <c r="IS782" i="94"/>
  <c r="JE782" i="94"/>
  <c r="JI782" i="94"/>
  <c r="JQ782" i="94"/>
  <c r="JU782" i="94"/>
  <c r="KC782" i="94"/>
  <c r="KK782" i="94"/>
  <c r="KS782" i="94"/>
  <c r="LE782" i="94"/>
  <c r="NC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AI813" i="94"/>
  <c r="AQ813" i="94"/>
  <c r="AZ813" i="94"/>
  <c r="BH813" i="94"/>
  <c r="EM813" i="94"/>
  <c r="EU813" i="94"/>
  <c r="FC813" i="94"/>
  <c r="FQ813" i="94"/>
  <c r="AA814" i="94"/>
  <c r="AF814" i="94"/>
  <c r="AK814" i="94"/>
  <c r="AR814" i="94"/>
  <c r="AZ814" i="94"/>
  <c r="BH814" i="94"/>
  <c r="EP814" i="94"/>
  <c r="EX814" i="94"/>
  <c r="FT814" i="94"/>
  <c r="GI814" i="94"/>
  <c r="GT814" i="94"/>
  <c r="HE814" i="94"/>
  <c r="HO814" i="94"/>
  <c r="HZ814" i="94"/>
  <c r="LV814" i="94"/>
  <c r="AJ815" i="94"/>
  <c r="AZ815" i="94"/>
  <c r="EH815" i="94"/>
  <c r="EX815" i="94"/>
  <c r="LR815" i="94"/>
  <c r="AD816" i="94"/>
  <c r="AT816" i="94"/>
  <c r="BJ816" i="94"/>
  <c r="BZ816" i="94"/>
  <c r="CR816" i="94"/>
  <c r="DP816" i="94"/>
  <c r="EJ816" i="94"/>
  <c r="EZ816" i="94"/>
  <c r="FP816" i="94"/>
  <c r="GH816" i="94"/>
  <c r="GX816" i="94"/>
  <c r="HN816" i="94"/>
  <c r="ID816" i="94"/>
  <c r="EA816" i="94"/>
  <c r="EQ816" i="94"/>
  <c r="FG816" i="94"/>
  <c r="GO816" i="94"/>
  <c r="HE816" i="94"/>
  <c r="HU816" i="94"/>
  <c r="LX816" i="94"/>
  <c r="HR779" i="94"/>
  <c r="MX816" i="94"/>
  <c r="MT816" i="94"/>
  <c r="MP816" i="94"/>
  <c r="MW816" i="94"/>
  <c r="MS816" i="94"/>
  <c r="MY816" i="94"/>
  <c r="MQ816" i="94"/>
  <c r="MV816" i="94"/>
  <c r="MU816" i="94"/>
  <c r="MR816" i="94"/>
  <c r="MI816" i="94"/>
  <c r="LV816" i="94"/>
  <c r="IB816" i="94"/>
  <c r="HT816" i="94"/>
  <c r="HL816" i="94"/>
  <c r="HD816" i="94"/>
  <c r="GV816" i="94"/>
  <c r="GN816" i="94"/>
  <c r="GF816" i="94"/>
  <c r="FV816" i="94"/>
  <c r="FN816" i="94"/>
  <c r="FF816" i="94"/>
  <c r="EX816" i="94"/>
  <c r="EP816" i="94"/>
  <c r="EH816" i="94"/>
  <c r="DY816" i="94"/>
  <c r="DL816" i="94"/>
  <c r="CZ816" i="94"/>
  <c r="CO816" i="94"/>
  <c r="CF816" i="94"/>
  <c r="BX816" i="94"/>
  <c r="BP816" i="94"/>
  <c r="BH816" i="94"/>
  <c r="AZ816" i="94"/>
  <c r="AR816" i="94"/>
  <c r="AJ816" i="94"/>
  <c r="AB816" i="94"/>
  <c r="MF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MV815" i="94"/>
  <c r="MR815" i="94"/>
  <c r="MY815" i="94"/>
  <c r="MU815" i="94"/>
  <c r="MQ815" i="94"/>
  <c r="MS815" i="94"/>
  <c r="MX815" i="94"/>
  <c r="MP815" i="94"/>
  <c r="MW815" i="94"/>
  <c r="MT815" i="94"/>
  <c r="LW815" i="94"/>
  <c r="GC815" i="94"/>
  <c r="FP815" i="94"/>
  <c r="FH815" i="94"/>
  <c r="EZ815" i="94"/>
  <c r="ER815" i="94"/>
  <c r="EJ815" i="94"/>
  <c r="BJ815" i="94"/>
  <c r="BB815" i="94"/>
  <c r="AT815" i="94"/>
  <c r="AL815" i="94"/>
  <c r="AD815" i="94"/>
  <c r="GB815" i="94"/>
  <c r="FO815" i="94"/>
  <c r="FG815" i="94"/>
  <c r="EY815" i="94"/>
  <c r="EQ815" i="94"/>
  <c r="EI815" i="94"/>
  <c r="BI815" i="94"/>
  <c r="BA815" i="94"/>
  <c r="AS815" i="94"/>
  <c r="AK815" i="94"/>
  <c r="AC815" i="94"/>
  <c r="MX814" i="94"/>
  <c r="MT814" i="94"/>
  <c r="MP814" i="94"/>
  <c r="MW814" i="94"/>
  <c r="MS814" i="94"/>
  <c r="MU814" i="94"/>
  <c r="MR814" i="94"/>
  <c r="MY814" i="94"/>
  <c r="MQ814" i="94"/>
  <c r="MV814" i="94"/>
  <c r="MO814" i="94"/>
  <c r="MG814" i="94"/>
  <c r="LY814" i="94"/>
  <c r="IC814" i="94"/>
  <c r="HW814" i="94"/>
  <c r="HR814" i="94"/>
  <c r="HM814" i="94"/>
  <c r="HG814" i="94"/>
  <c r="HB814" i="94"/>
  <c r="GW814" i="94"/>
  <c r="GQ814" i="94"/>
  <c r="GL814" i="94"/>
  <c r="GG814" i="94"/>
  <c r="FV814" i="94"/>
  <c r="FQ814" i="94"/>
  <c r="FL814" i="94"/>
  <c r="FF814" i="94"/>
  <c r="FA814" i="94"/>
  <c r="EV814" i="94"/>
  <c r="ER814" i="94"/>
  <c r="EN814" i="94"/>
  <c r="EJ814" i="94"/>
  <c r="EF814" i="94"/>
  <c r="BJ814" i="94"/>
  <c r="BF814" i="94"/>
  <c r="BB814" i="94"/>
  <c r="AX814" i="94"/>
  <c r="AT814" i="94"/>
  <c r="AP814" i="94"/>
  <c r="AL814" i="94"/>
  <c r="AH814" i="94"/>
  <c r="AD814" i="94"/>
  <c r="Z814" i="94"/>
  <c r="MK814" i="94"/>
  <c r="MC814" i="94"/>
  <c r="LX814" i="94"/>
  <c r="IB814" i="94"/>
  <c r="HV814" i="94"/>
  <c r="HQ814" i="94"/>
  <c r="HL814" i="94"/>
  <c r="HF814" i="94"/>
  <c r="HA814" i="94"/>
  <c r="GV814" i="94"/>
  <c r="GP814" i="94"/>
  <c r="GK814" i="94"/>
  <c r="GF814" i="94"/>
  <c r="FU814" i="94"/>
  <c r="FO814" i="94"/>
  <c r="FJ814" i="94"/>
  <c r="FE814" i="94"/>
  <c r="EY814" i="94"/>
  <c r="EU814" i="94"/>
  <c r="EQ814" i="94"/>
  <c r="EM814" i="94"/>
  <c r="EI814" i="94"/>
  <c r="EE814" i="94"/>
  <c r="BI814" i="94"/>
  <c r="BE814" i="94"/>
  <c r="BA814" i="94"/>
  <c r="AW814" i="94"/>
  <c r="AS814" i="94"/>
  <c r="AO814" i="94"/>
  <c r="MV813" i="94"/>
  <c r="MR813" i="94"/>
  <c r="MY813" i="94"/>
  <c r="MU813" i="94"/>
  <c r="MQ813" i="94"/>
  <c r="MW813" i="94"/>
  <c r="MT813" i="94"/>
  <c r="MS813" i="94"/>
  <c r="MX813" i="94"/>
  <c r="MP813" i="94"/>
  <c r="LX813" i="94"/>
  <c r="IA813" i="94"/>
  <c r="GB813" i="94"/>
  <c r="FO813" i="94"/>
  <c r="FG813" i="94"/>
  <c r="EY813" i="94"/>
  <c r="ES813" i="94"/>
  <c r="EL813" i="94"/>
  <c r="EE813" i="94"/>
  <c r="BJ813" i="94"/>
  <c r="BE813" i="94"/>
  <c r="AY813" i="94"/>
  <c r="AR813" i="94"/>
  <c r="AK813" i="94"/>
  <c r="AD813" i="94"/>
  <c r="Y813" i="94"/>
  <c r="MX812" i="94"/>
  <c r="MT812" i="94"/>
  <c r="MP812" i="94"/>
  <c r="MW812" i="94"/>
  <c r="MS812" i="94"/>
  <c r="MY812" i="94"/>
  <c r="MQ812" i="94"/>
  <c r="MV812" i="94"/>
  <c r="MU812" i="94"/>
  <c r="MR812" i="94"/>
  <c r="ML812" i="94"/>
  <c r="MH812" i="94"/>
  <c r="MD812" i="94"/>
  <c r="LZ812" i="94"/>
  <c r="LV812" i="94"/>
  <c r="IQ812" i="94"/>
  <c r="IA812" i="94"/>
  <c r="HW812" i="94"/>
  <c r="HS812" i="94"/>
  <c r="HO812" i="94"/>
  <c r="HK812" i="94"/>
  <c r="HG812" i="94"/>
  <c r="HC812" i="94"/>
  <c r="GY812" i="94"/>
  <c r="GU812" i="94"/>
  <c r="GQ812" i="94"/>
  <c r="GM812" i="94"/>
  <c r="GI812" i="94"/>
  <c r="GE812" i="94"/>
  <c r="GA812" i="94"/>
  <c r="FV812" i="94"/>
  <c r="FR812" i="94"/>
  <c r="FN812" i="94"/>
  <c r="FJ812" i="94"/>
  <c r="FF812" i="94"/>
  <c r="FB812" i="94"/>
  <c r="EX812" i="94"/>
  <c r="ET812" i="94"/>
  <c r="EP812" i="94"/>
  <c r="EL812" i="94"/>
  <c r="EH812" i="94"/>
  <c r="ED812" i="94"/>
  <c r="DZ812" i="94"/>
  <c r="DV812" i="94"/>
  <c r="DR812" i="94"/>
  <c r="DN812" i="94"/>
  <c r="DJ812" i="94"/>
  <c r="DF812" i="94"/>
  <c r="DB812" i="94"/>
  <c r="CX812" i="94"/>
  <c r="CT812" i="94"/>
  <c r="CP812" i="94"/>
  <c r="CL812" i="94"/>
  <c r="CH812" i="94"/>
  <c r="CD812" i="94"/>
  <c r="BZ812" i="94"/>
  <c r="BV812" i="94"/>
  <c r="BR812" i="94"/>
  <c r="BN812" i="94"/>
  <c r="BJ812" i="94"/>
  <c r="MV811" i="94"/>
  <c r="MR811" i="94"/>
  <c r="MY811" i="94"/>
  <c r="MU811" i="94"/>
  <c r="MQ811" i="94"/>
  <c r="MS811" i="94"/>
  <c r="MX811" i="94"/>
  <c r="MP811" i="94"/>
  <c r="MW811" i="94"/>
  <c r="MT811" i="94"/>
  <c r="MX810" i="94"/>
  <c r="MT810" i="94"/>
  <c r="MP810" i="94"/>
  <c r="MW810" i="94"/>
  <c r="MS810" i="94"/>
  <c r="MU810" i="94"/>
  <c r="MR810" i="94"/>
  <c r="MY810" i="94"/>
  <c r="MQ810" i="94"/>
  <c r="MV810" i="94"/>
  <c r="MV809" i="94"/>
  <c r="MR809" i="94"/>
  <c r="MY809" i="94"/>
  <c r="MU809" i="94"/>
  <c r="MQ809" i="94"/>
  <c r="MW809" i="94"/>
  <c r="MT809" i="94"/>
  <c r="MS809" i="94"/>
  <c r="MX809" i="94"/>
  <c r="MP809" i="94"/>
  <c r="MX808" i="94"/>
  <c r="MT808" i="94"/>
  <c r="MP808" i="94"/>
  <c r="MW808" i="94"/>
  <c r="MS808" i="94"/>
  <c r="MY808" i="94"/>
  <c r="MQ808" i="94"/>
  <c r="MV808" i="94"/>
  <c r="MU808" i="94"/>
  <c r="MR808" i="94"/>
  <c r="MV807" i="94"/>
  <c r="MR807" i="94"/>
  <c r="MY807" i="94"/>
  <c r="MU807" i="94"/>
  <c r="MQ807" i="94"/>
  <c r="MS807" i="94"/>
  <c r="MX807" i="94"/>
  <c r="MP807" i="94"/>
  <c r="MW807" i="94"/>
  <c r="MT807" i="94"/>
  <c r="MX806" i="94"/>
  <c r="MT806" i="94"/>
  <c r="MP806" i="94"/>
  <c r="MW806" i="94"/>
  <c r="MS806" i="94"/>
  <c r="MU806" i="94"/>
  <c r="MR806" i="94"/>
  <c r="MY806" i="94"/>
  <c r="MQ806" i="94"/>
  <c r="MV806" i="94"/>
  <c r="MV805" i="94"/>
  <c r="MR805" i="94"/>
  <c r="MY805" i="94"/>
  <c r="MU805" i="94"/>
  <c r="MQ805" i="94"/>
  <c r="MW805" i="94"/>
  <c r="MT805" i="94"/>
  <c r="MS805" i="94"/>
  <c r="MX805" i="94"/>
  <c r="MP805" i="94"/>
  <c r="MX804" i="94"/>
  <c r="MT804" i="94"/>
  <c r="MP804" i="94"/>
  <c r="MW804" i="94"/>
  <c r="MS804" i="94"/>
  <c r="MY804" i="94"/>
  <c r="MQ804" i="94"/>
  <c r="MV804" i="94"/>
  <c r="MU804" i="94"/>
  <c r="MR804" i="94"/>
  <c r="MV803" i="94"/>
  <c r="MR803" i="94"/>
  <c r="MY803" i="94"/>
  <c r="MU803" i="94"/>
  <c r="MQ803" i="94"/>
  <c r="MS803" i="94"/>
  <c r="MX803" i="94"/>
  <c r="MP803" i="94"/>
  <c r="MW803" i="94"/>
  <c r="MT803" i="94"/>
  <c r="MX802" i="94"/>
  <c r="MT802" i="94"/>
  <c r="MP802" i="94"/>
  <c r="MW802" i="94"/>
  <c r="MS802" i="94"/>
  <c r="MU802" i="94"/>
  <c r="MR802" i="94"/>
  <c r="MY802" i="94"/>
  <c r="MQ802" i="94"/>
  <c r="MV802" i="94"/>
  <c r="MV801" i="94"/>
  <c r="MR801" i="94"/>
  <c r="MY801" i="94"/>
  <c r="MU801" i="94"/>
  <c r="MQ801" i="94"/>
  <c r="MW801" i="94"/>
  <c r="MT801" i="94"/>
  <c r="MS801" i="94"/>
  <c r="MX801" i="94"/>
  <c r="MP801" i="94"/>
  <c r="MX800" i="94"/>
  <c r="MT800" i="94"/>
  <c r="MP800" i="94"/>
  <c r="MW800" i="94"/>
  <c r="MS800" i="94"/>
  <c r="MY800" i="94"/>
  <c r="MQ800" i="94"/>
  <c r="MV800" i="94"/>
  <c r="MU800" i="94"/>
  <c r="MR800" i="94"/>
  <c r="MV799" i="94"/>
  <c r="MR799" i="94"/>
  <c r="MY799" i="94"/>
  <c r="MU799" i="94"/>
  <c r="MQ799" i="94"/>
  <c r="MS799" i="94"/>
  <c r="MX799" i="94"/>
  <c r="MP799" i="94"/>
  <c r="MW799" i="94"/>
  <c r="MT799" i="94"/>
  <c r="MX798" i="94"/>
  <c r="MT798" i="94"/>
  <c r="MP798" i="94"/>
  <c r="MW798" i="94"/>
  <c r="MS798" i="94"/>
  <c r="MU798" i="94"/>
  <c r="MR798" i="94"/>
  <c r="MY798" i="94"/>
  <c r="MQ798" i="94"/>
  <c r="MV798" i="94"/>
  <c r="MV797" i="94"/>
  <c r="MR797" i="94"/>
  <c r="MY797" i="94"/>
  <c r="MU797" i="94"/>
  <c r="MQ797" i="94"/>
  <c r="MW797" i="94"/>
  <c r="MT797" i="94"/>
  <c r="MS797" i="94"/>
  <c r="MX797" i="94"/>
  <c r="MP797" i="94"/>
  <c r="MX796" i="94"/>
  <c r="MT796" i="94"/>
  <c r="MP796" i="94"/>
  <c r="MW796" i="94"/>
  <c r="MS796" i="94"/>
  <c r="MY796" i="94"/>
  <c r="MQ796" i="94"/>
  <c r="MV796" i="94"/>
  <c r="MU796" i="94"/>
  <c r="MR796" i="94"/>
  <c r="MV795" i="94"/>
  <c r="MR795" i="94"/>
  <c r="MY795" i="94"/>
  <c r="MU795" i="94"/>
  <c r="MQ795" i="94"/>
  <c r="MS795" i="94"/>
  <c r="MX795" i="94"/>
  <c r="MP795" i="94"/>
  <c r="MW795" i="94"/>
  <c r="MT795" i="94"/>
  <c r="MX794" i="94"/>
  <c r="MT794" i="94"/>
  <c r="MP794" i="94"/>
  <c r="MW794" i="94"/>
  <c r="MS794" i="94"/>
  <c r="MU794" i="94"/>
  <c r="MR794" i="94"/>
  <c r="MY794" i="94"/>
  <c r="MQ794" i="94"/>
  <c r="MV794" i="94"/>
  <c r="MV793" i="94"/>
  <c r="MR793" i="94"/>
  <c r="MY793" i="94"/>
  <c r="MU793" i="94"/>
  <c r="MQ793" i="94"/>
  <c r="MW793" i="94"/>
  <c r="MT793" i="94"/>
  <c r="MS793" i="94"/>
  <c r="MX793" i="94"/>
  <c r="MP793" i="94"/>
  <c r="MX792" i="94"/>
  <c r="MT792" i="94"/>
  <c r="MP792" i="94"/>
  <c r="MW792" i="94"/>
  <c r="MS792" i="94"/>
  <c r="MY792" i="94"/>
  <c r="MQ792" i="94"/>
  <c r="MV792" i="94"/>
  <c r="MU792" i="94"/>
  <c r="MR792" i="94"/>
  <c r="MV791" i="94"/>
  <c r="MR791" i="94"/>
  <c r="MY791" i="94"/>
  <c r="MU791" i="94"/>
  <c r="MQ791" i="94"/>
  <c r="MS791" i="94"/>
  <c r="MX791" i="94"/>
  <c r="MP791" i="94"/>
  <c r="MW791" i="94"/>
  <c r="MT791" i="94"/>
  <c r="MX790" i="94"/>
  <c r="MT790" i="94"/>
  <c r="MP790" i="94"/>
  <c r="MW790" i="94"/>
  <c r="MS790" i="94"/>
  <c r="MU790" i="94"/>
  <c r="MR790" i="94"/>
  <c r="MY790" i="94"/>
  <c r="MQ790" i="94"/>
  <c r="MV790" i="94"/>
  <c r="MV789" i="94"/>
  <c r="MR789" i="94"/>
  <c r="MY789" i="94"/>
  <c r="MU789" i="94"/>
  <c r="MQ789" i="94"/>
  <c r="MW789" i="94"/>
  <c r="MT789" i="94"/>
  <c r="MS789" i="94"/>
  <c r="MX789" i="94"/>
  <c r="MP789" i="94"/>
  <c r="MX788" i="94"/>
  <c r="MT788" i="94"/>
  <c r="MP788" i="94"/>
  <c r="MW788" i="94"/>
  <c r="MS788" i="94"/>
  <c r="MY788" i="94"/>
  <c r="MQ788" i="94"/>
  <c r="MV788" i="94"/>
  <c r="MU788" i="94"/>
  <c r="MR788" i="94"/>
  <c r="MV787" i="94"/>
  <c r="MR787" i="94"/>
  <c r="MY787" i="94"/>
  <c r="MU787" i="94"/>
  <c r="MQ787" i="94"/>
  <c r="MS787" i="94"/>
  <c r="MX787" i="94"/>
  <c r="MP787" i="94"/>
  <c r="MW787" i="94"/>
  <c r="MT787" i="94"/>
  <c r="MX786" i="94"/>
  <c r="MT786" i="94"/>
  <c r="MP786" i="94"/>
  <c r="MW786" i="94"/>
  <c r="MS786" i="94"/>
  <c r="MU786" i="94"/>
  <c r="MR786" i="94"/>
  <c r="MY786" i="94"/>
  <c r="MQ786" i="94"/>
  <c r="MV786" i="94"/>
  <c r="MV785" i="94"/>
  <c r="MR785" i="94"/>
  <c r="MY785" i="94"/>
  <c r="MU785" i="94"/>
  <c r="MQ785" i="94"/>
  <c r="MW785" i="94"/>
  <c r="MT785" i="94"/>
  <c r="MS785" i="94"/>
  <c r="MX785" i="94"/>
  <c r="MP785" i="94"/>
  <c r="MX784" i="94"/>
  <c r="MT784" i="94"/>
  <c r="MP784" i="94"/>
  <c r="MW784" i="94"/>
  <c r="MS784" i="94"/>
  <c r="MY784" i="94"/>
  <c r="MQ784" i="94"/>
  <c r="MV784" i="94"/>
  <c r="MU784" i="94"/>
  <c r="MR784" i="94"/>
  <c r="MV783" i="94"/>
  <c r="MR783" i="94"/>
  <c r="MY783" i="94"/>
  <c r="MU783" i="94"/>
  <c r="MQ783" i="94"/>
  <c r="MS783" i="94"/>
  <c r="MX783" i="94"/>
  <c r="MP783" i="94"/>
  <c r="MW783" i="94"/>
  <c r="MT783" i="94"/>
  <c r="MW782" i="94"/>
  <c r="MS782" i="94"/>
  <c r="MV782" i="94"/>
  <c r="MR782" i="94"/>
  <c r="MY782" i="94"/>
  <c r="MU782" i="94"/>
  <c r="MQ782" i="94"/>
  <c r="MX782" i="94"/>
  <c r="MT782" i="94"/>
  <c r="MP782" i="94"/>
  <c r="MY781" i="94"/>
  <c r="MU781" i="94"/>
  <c r="MQ781" i="94"/>
  <c r="MX781" i="94"/>
  <c r="MT781" i="94"/>
  <c r="MP781" i="94"/>
  <c r="MW781" i="94"/>
  <c r="MS781" i="94"/>
  <c r="MV781" i="94"/>
  <c r="MR781" i="94"/>
  <c r="MW780" i="94"/>
  <c r="MS780" i="94"/>
  <c r="MV780" i="94"/>
  <c r="MR780" i="94"/>
  <c r="MY780" i="94"/>
  <c r="MU780" i="94"/>
  <c r="MQ780" i="94"/>
  <c r="MX780" i="94"/>
  <c r="MT780" i="94"/>
  <c r="MP780" i="94"/>
  <c r="CU790" i="94"/>
  <c r="MY779" i="94"/>
  <c r="MU779" i="94"/>
  <c r="MQ779" i="94"/>
  <c r="MX779" i="94"/>
  <c r="MT779" i="94"/>
  <c r="MP779" i="94"/>
  <c r="MW779" i="94"/>
  <c r="MS779" i="94"/>
  <c r="MV779" i="94"/>
  <c r="MR779" i="94"/>
  <c r="LT814" i="94"/>
  <c r="LS814" i="94"/>
  <c r="FX812" i="94"/>
  <c r="M957" i="94"/>
  <c r="I971" i="94"/>
  <c r="K980" i="94"/>
  <c r="I984" i="94"/>
  <c r="JW812" i="94"/>
  <c r="H957" i="94"/>
  <c r="P957" i="94"/>
  <c r="L962" i="94"/>
  <c r="H966" i="94"/>
  <c r="P966" i="94"/>
  <c r="L971" i="94"/>
  <c r="H975" i="94"/>
  <c r="P975" i="94"/>
  <c r="HG795" i="94"/>
  <c r="HS791" i="94"/>
  <c r="HW787" i="94"/>
  <c r="MM783" i="94"/>
  <c r="H953" i="94"/>
  <c r="K953" i="94"/>
  <c r="O962" i="94"/>
  <c r="K966" i="94"/>
  <c r="O971" i="94"/>
  <c r="I9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BH817" i="94"/>
  <c r="L833" i="94" s="1"/>
  <c r="EJ817" i="94"/>
  <c r="L928" i="94" s="1"/>
  <c r="ER817" i="94"/>
  <c r="O929" i="94" s="1"/>
  <c r="EZ817" i="94"/>
  <c r="M931" i="94" s="1"/>
  <c r="FP817" i="94"/>
  <c r="N934" i="94" s="1"/>
  <c r="GF817" i="94"/>
  <c r="O938" i="94" s="1"/>
  <c r="LT817" i="94"/>
  <c r="AF817" i="94"/>
  <c r="N826" i="94" s="1"/>
  <c r="N842"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J817" i="94" l="1"/>
  <c r="N882" i="94" s="1"/>
  <c r="FT817" i="94"/>
  <c r="M936" i="94" s="1"/>
  <c r="GB817" i="94"/>
  <c r="K938" i="94" s="1"/>
  <c r="P938" i="94" s="1"/>
  <c r="HH817" i="94"/>
  <c r="HJ817" i="94"/>
  <c r="GX817" i="94"/>
  <c r="M885" i="94" s="1"/>
  <c r="MD817" i="94"/>
  <c r="HX817" i="94"/>
  <c r="HE817" i="94"/>
  <c r="O886" i="94" s="1"/>
  <c r="HZ817" i="94"/>
  <c r="GH817" i="94"/>
  <c r="L882" i="94" s="1"/>
  <c r="HO817" i="94"/>
  <c r="O888" i="94" s="1"/>
  <c r="HP817" i="94"/>
  <c r="K889" i="94" s="1"/>
  <c r="GU817" i="94"/>
  <c r="HK817" i="94"/>
  <c r="K888" i="94" s="1"/>
  <c r="EW817" i="94"/>
  <c r="O930" i="94" s="1"/>
  <c r="P930" i="94" s="1"/>
  <c r="AY817" i="94"/>
  <c r="M830" i="94" s="1"/>
  <c r="M854" i="94" s="1"/>
  <c r="EO817" i="94"/>
  <c r="L929" i="94" s="1"/>
  <c r="L935" i="94" s="1"/>
  <c r="L937" i="94" s="1"/>
  <c r="L939" i="94" s="1"/>
  <c r="HL817" i="94"/>
  <c r="L888" i="94" s="1"/>
  <c r="HW817" i="94"/>
  <c r="GG817" i="94"/>
  <c r="K882" i="94" s="1"/>
  <c r="GI817" i="94"/>
  <c r="M882" i="94" s="1"/>
  <c r="GY817" i="94"/>
  <c r="N885" i="94" s="1"/>
  <c r="HI817" i="94"/>
  <c r="GT817" i="94"/>
  <c r="FQ817" i="94"/>
  <c r="O934" i="94" s="1"/>
  <c r="P934" i="94" s="1"/>
  <c r="ME817" i="94"/>
  <c r="MJ817" i="94"/>
  <c r="ML817" i="94"/>
  <c r="JY817" i="94"/>
  <c r="L898" i="94" s="1"/>
  <c r="HT817" i="94"/>
  <c r="O889" i="94" s="1"/>
  <c r="HF817" i="94"/>
  <c r="HG817" i="94"/>
  <c r="GO817" i="94"/>
  <c r="N883" i="94" s="1"/>
  <c r="GP817" i="94"/>
  <c r="O883" i="94" s="1"/>
  <c r="IC817" i="94"/>
  <c r="IA817" i="94"/>
  <c r="FC817" i="94"/>
  <c r="K932" i="94" s="1"/>
  <c r="K935" i="94" s="1"/>
  <c r="K937" i="94" s="1"/>
  <c r="MK817" i="94"/>
  <c r="HU817" i="94"/>
  <c r="HQ817" i="94"/>
  <c r="L889" i="94" s="1"/>
  <c r="GV817" i="94"/>
  <c r="K885" i="94" s="1"/>
  <c r="FK817" i="94"/>
  <c r="N933" i="94" s="1"/>
  <c r="N935" i="94" s="1"/>
  <c r="N937" i="94" s="1"/>
  <c r="N939" i="94" s="1"/>
  <c r="Y817" i="94"/>
  <c r="L825" i="94" s="1"/>
  <c r="L839" i="94" s="1"/>
  <c r="EM817" i="94"/>
  <c r="O928" i="94" s="1"/>
  <c r="P928" i="94" s="1"/>
  <c r="ED817" i="94"/>
  <c r="K835" i="94" s="1"/>
  <c r="P835" i="94" s="1"/>
  <c r="Q938" i="94" s="1"/>
  <c r="LW817" i="94"/>
  <c r="BK817" i="94"/>
  <c r="O833" i="94" s="1"/>
  <c r="P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O887"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CV817" i="94"/>
  <c r="L879" i="94" s="1"/>
  <c r="DQ817" i="94"/>
  <c r="M875" i="94" s="1"/>
  <c r="O832" i="94"/>
  <c r="DI817" i="94"/>
  <c r="O877" i="94" s="1"/>
  <c r="BZ817" i="94"/>
  <c r="O866" i="94" s="1"/>
  <c r="D484" i="94"/>
  <c r="O851" i="94"/>
  <c r="DO817" i="94"/>
  <c r="K875" i="94" s="1"/>
  <c r="LG817" i="94"/>
  <c r="K905" i="94" s="1"/>
  <c r="L851" i="94"/>
  <c r="P93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M935"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7" i="94"/>
  <c r="P845" i="94" s="1"/>
  <c r="P828" i="94"/>
  <c r="N832" i="94"/>
  <c r="N834" i="94" s="1"/>
  <c r="N836"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M832" i="94" l="1"/>
  <c r="M834" i="94" s="1"/>
  <c r="M836" i="94" s="1"/>
  <c r="M937" i="94"/>
  <c r="M939" i="94" s="1"/>
  <c r="Q931" i="94"/>
  <c r="K920" i="94"/>
  <c r="M887" i="94"/>
  <c r="K924" i="94"/>
  <c r="N942" i="94"/>
  <c r="L887" i="94"/>
  <c r="L920" i="94"/>
  <c r="O834" i="94"/>
  <c r="O836" i="94" s="1"/>
  <c r="O942" i="94" s="1"/>
  <c r="P825" i="94"/>
  <c r="P839" i="94" s="1"/>
  <c r="M840" i="94" s="1"/>
  <c r="M841" i="94" s="1"/>
  <c r="N890" i="94"/>
  <c r="L832" i="94"/>
  <c r="L834" i="94" s="1"/>
  <c r="L836" i="94" s="1"/>
  <c r="L942" i="94" s="1"/>
  <c r="O935" i="94"/>
  <c r="O937" i="94" s="1"/>
  <c r="O939" i="94" s="1"/>
  <c r="M942" i="94"/>
  <c r="P830" i="94"/>
  <c r="Q933" i="94" s="1"/>
  <c r="K887" i="94"/>
  <c r="N884" i="94"/>
  <c r="P851" i="94"/>
  <c r="K852" i="94" s="1"/>
  <c r="K853" i="94" s="1"/>
  <c r="M884" i="94"/>
  <c r="P929" i="94"/>
  <c r="Q936" i="94"/>
  <c r="P932" i="94"/>
  <c r="L921" i="94"/>
  <c r="K919" i="94"/>
  <c r="K884" i="94"/>
  <c r="P889" i="94"/>
  <c r="N887" i="94"/>
  <c r="L890" i="94"/>
  <c r="K890" i="94"/>
  <c r="Q928" i="94"/>
  <c r="O923" i="94"/>
  <c r="P933" i="94"/>
  <c r="K923" i="94"/>
  <c r="L922" i="94"/>
  <c r="Q930" i="94"/>
  <c r="P885" i="94"/>
  <c r="M890" i="94"/>
  <c r="O884" i="94"/>
  <c r="P888" i="94"/>
  <c r="O890" i="94"/>
  <c r="P866" i="94"/>
  <c r="P1008" i="94"/>
  <c r="H101"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K939" i="94"/>
  <c r="P846" i="94"/>
  <c r="P847" i="94" s="1"/>
  <c r="M846" i="94"/>
  <c r="M847" i="94" s="1"/>
  <c r="O846" i="94"/>
  <c r="O847" i="94" s="1"/>
  <c r="L846" i="94"/>
  <c r="L847" i="94" s="1"/>
  <c r="N846" i="94"/>
  <c r="N847" i="94" s="1"/>
  <c r="K846" i="94"/>
  <c r="K847" i="94" s="1"/>
  <c r="F493" i="94"/>
  <c r="E484" i="94"/>
  <c r="G480" i="94" s="1"/>
  <c r="L373" i="94"/>
  <c r="L63" i="94"/>
  <c r="P852" i="94" l="1"/>
  <c r="P853" i="94" s="1"/>
  <c r="O840" i="94"/>
  <c r="O841" i="94" s="1"/>
  <c r="L840" i="94"/>
  <c r="L841" i="94" s="1"/>
  <c r="K840" i="94"/>
  <c r="K841" i="94" s="1"/>
  <c r="N840" i="94"/>
  <c r="N841" i="94" s="1"/>
  <c r="P840" i="94"/>
  <c r="P841" i="94" s="1"/>
  <c r="P939" i="94"/>
  <c r="P937" i="94"/>
  <c r="P935" i="94"/>
  <c r="P849" i="94"/>
  <c r="P850" i="94" s="1"/>
  <c r="P832" i="94"/>
  <c r="P834" i="94"/>
  <c r="K836" i="94"/>
  <c r="P836" i="94" s="1"/>
  <c r="P854" i="94"/>
  <c r="M855" i="94" s="1"/>
  <c r="M856" i="94" s="1"/>
  <c r="O852" i="94"/>
  <c r="O853" i="94" s="1"/>
  <c r="P887" i="94"/>
  <c r="M852" i="94"/>
  <c r="M853" i="94" s="1"/>
  <c r="L852" i="94"/>
  <c r="L853" i="94" s="1"/>
  <c r="N852" i="94"/>
  <c r="N853" i="94" s="1"/>
  <c r="P919" i="94"/>
  <c r="P925" i="94"/>
  <c r="P890" i="94"/>
  <c r="P884" i="94"/>
  <c r="K849" i="94"/>
  <c r="K850" i="94" s="1"/>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942" i="94" l="1"/>
  <c r="N855" i="94"/>
  <c r="N856" i="94" s="1"/>
  <c r="L855" i="94"/>
  <c r="L856" i="94" s="1"/>
  <c r="P855" i="94"/>
  <c r="P856" i="94" s="1"/>
  <c r="K855" i="94"/>
  <c r="K856" i="94" s="1"/>
  <c r="O855" i="94"/>
  <c r="O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M166" i="72" s="1"/>
  <c r="K165" i="72"/>
  <c r="M165" i="72" s="1"/>
  <c r="A165" i="72" s="1"/>
  <c r="K164" i="72"/>
  <c r="M164" i="72" s="1"/>
  <c r="A166" i="72" l="1"/>
  <c r="S166" i="72"/>
  <c r="M163" i="72"/>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22" i="76"/>
  <c r="J19" i="75" s="1"/>
  <c r="J788" i="94" s="1"/>
  <c r="L788" i="94" s="1"/>
  <c r="M788"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D25" i="74"/>
  <c r="C58" i="74"/>
  <c r="G25" i="74"/>
  <c r="G27" i="74"/>
  <c r="D59" i="74"/>
  <c r="J92" i="74"/>
  <c r="B40" i="74"/>
  <c r="C120" i="74"/>
  <c r="H25" i="74"/>
  <c r="B60" i="74"/>
  <c r="B1088" i="94" s="1"/>
  <c r="K90" i="74"/>
  <c r="E122" i="74"/>
  <c r="C25" i="74"/>
  <c r="K25"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B25" i="74"/>
  <c r="B39" i="74" s="1"/>
  <c r="C39" i="74" s="1"/>
  <c r="F25" i="74"/>
  <c r="J25"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c r="C1059" i="94" s="1"/>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C1067" i="94" l="1"/>
  <c r="D39" i="74"/>
  <c r="P417" i="94"/>
  <c r="C119" i="74"/>
  <c r="B41" i="87" s="1"/>
  <c r="B119" i="74"/>
  <c r="F89" i="74"/>
  <c r="J89" i="74"/>
  <c r="B38" i="87" s="1"/>
  <c r="D57" i="74"/>
  <c r="B22" i="87" s="1"/>
  <c r="H57" i="74"/>
  <c r="B57" i="74"/>
  <c r="D119" i="74"/>
  <c r="B42" i="87" s="1"/>
  <c r="C89" i="74"/>
  <c r="B31" i="87" s="1"/>
  <c r="G89" i="74"/>
  <c r="K89" i="74"/>
  <c r="E57" i="74"/>
  <c r="B23" i="87" s="1"/>
  <c r="I57" i="74"/>
  <c r="I1085" i="94" s="1"/>
  <c r="E119" i="74"/>
  <c r="D89" i="74"/>
  <c r="H89" i="74"/>
  <c r="H1117" i="94" s="1"/>
  <c r="B89" i="74"/>
  <c r="B30" i="87" s="1"/>
  <c r="F57" i="74"/>
  <c r="J57" i="74"/>
  <c r="F119" i="74"/>
  <c r="F1147" i="94" s="1"/>
  <c r="E89" i="74"/>
  <c r="B33" i="87" s="1"/>
  <c r="I89" i="74"/>
  <c r="I1117" i="94" s="1"/>
  <c r="C57" i="74"/>
  <c r="G57" i="74"/>
  <c r="G1085" i="94" s="1"/>
  <c r="K57" i="74"/>
  <c r="K1085" i="94" s="1"/>
  <c r="F36" i="78"/>
  <c r="F482" i="94" s="1"/>
  <c r="J21" i="75"/>
  <c r="J18" i="75"/>
  <c r="J17" i="75"/>
  <c r="J786" i="94" s="1"/>
  <c r="L786" i="94" s="1"/>
  <c r="M786" i="94" s="1"/>
  <c r="J23" i="75"/>
  <c r="L23" i="75" s="1"/>
  <c r="M23" i="75" s="1"/>
  <c r="I99" i="74"/>
  <c r="I1127" i="94" s="1"/>
  <c r="I1120" i="94"/>
  <c r="B10" i="87"/>
  <c r="B1053" i="94"/>
  <c r="D99" i="74"/>
  <c r="D1127" i="94" s="1"/>
  <c r="D1120" i="94"/>
  <c r="B20" i="87"/>
  <c r="B1085" i="94"/>
  <c r="B17" i="87"/>
  <c r="I1053"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B27" i="87"/>
  <c r="B37" i="87"/>
  <c r="F68" i="78"/>
  <c r="E514" i="94"/>
  <c r="F514" i="94" s="1"/>
  <c r="B63" i="74"/>
  <c r="B1091" i="94" s="1"/>
  <c r="P422" i="94"/>
  <c r="K40" i="66"/>
  <c r="I65" i="94"/>
  <c r="E16" i="87"/>
  <c r="H1054" i="94"/>
  <c r="C129" i="74"/>
  <c r="C1157" i="94" s="1"/>
  <c r="C1150" i="94"/>
  <c r="R1144" i="94" s="1"/>
  <c r="S1144" i="94" s="1"/>
  <c r="J99" i="74"/>
  <c r="J1127" i="94" s="1"/>
  <c r="J1120" i="94"/>
  <c r="B12" i="87"/>
  <c r="D1053" i="94"/>
  <c r="C12" i="86"/>
  <c r="B1069" i="94"/>
  <c r="I68" i="74"/>
  <c r="I1096" i="94" s="1"/>
  <c r="I1088" i="94"/>
  <c r="B21" i="87"/>
  <c r="C1085" i="94"/>
  <c r="B18" i="87"/>
  <c r="J1053" i="94"/>
  <c r="F129" i="74"/>
  <c r="F1157" i="94" s="1"/>
  <c r="F1150" i="94"/>
  <c r="B44" i="87"/>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B19" i="87"/>
  <c r="K1053" i="94"/>
  <c r="E39" i="87"/>
  <c r="K1118" i="94"/>
  <c r="B16" i="87"/>
  <c r="H1053" i="94"/>
  <c r="B32" i="87"/>
  <c r="D1117" i="94"/>
  <c r="B15" i="87"/>
  <c r="G1053" i="94"/>
  <c r="H19" i="87"/>
  <c r="K1055" i="94"/>
  <c r="C1147" i="94"/>
  <c r="B25" i="87"/>
  <c r="H68" i="74"/>
  <c r="H1096" i="94" s="1"/>
  <c r="H1088" i="94"/>
  <c r="D98" i="74"/>
  <c r="D1126" i="94" s="1"/>
  <c r="H32" i="87"/>
  <c r="D1119" i="94"/>
  <c r="D1147" i="94"/>
  <c r="G35" i="74"/>
  <c r="G1063" i="94" s="1"/>
  <c r="H15" i="87"/>
  <c r="G1055" i="94"/>
  <c r="B39" i="87"/>
  <c r="K1117" i="94"/>
  <c r="E68" i="74"/>
  <c r="E1096" i="94" s="1"/>
  <c r="E1088" i="94"/>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R1082" i="94" s="1"/>
  <c r="S1082" i="94" s="1"/>
  <c r="B11" i="87"/>
  <c r="C1053" i="94"/>
  <c r="C127" i="74"/>
  <c r="C1155" i="94" s="1"/>
  <c r="E41" i="87"/>
  <c r="C1148" i="94"/>
  <c r="D67" i="74"/>
  <c r="D1095" i="94" s="1"/>
  <c r="H22" i="87"/>
  <c r="D1087" i="94"/>
  <c r="E21" i="87"/>
  <c r="C1086" i="94"/>
  <c r="L411" i="94"/>
  <c r="L412" i="94" s="1"/>
  <c r="F84" i="92"/>
  <c r="E65" i="89"/>
  <c r="B35" i="87"/>
  <c r="G1117" i="94"/>
  <c r="B29" i="87"/>
  <c r="C10" i="86"/>
  <c r="B1067" i="94"/>
  <c r="C99" i="74"/>
  <c r="C1127" i="94" s="1"/>
  <c r="C1120"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E129" i="74"/>
  <c r="E1157" i="94" s="1"/>
  <c r="E1150" i="94"/>
  <c r="C11" i="86"/>
  <c r="B1068" i="94"/>
  <c r="B26" i="87"/>
  <c r="H1085" i="94"/>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44" i="75"/>
  <c r="M44" i="75" s="1"/>
  <c r="A123" i="75"/>
  <c r="M294" i="72"/>
  <c r="Q338" i="72"/>
  <c r="C63" i="74"/>
  <c r="C1091" i="94" s="1"/>
  <c r="D10" i="86"/>
  <c r="B44" i="78"/>
  <c r="F47" i="78" s="1"/>
  <c r="C8" i="90"/>
  <c r="C139" i="90" s="1"/>
  <c r="J20" i="75"/>
  <c r="J789" i="94" s="1"/>
  <c r="L789" i="94" s="1"/>
  <c r="M789" i="94" s="1"/>
  <c r="F37" i="78"/>
  <c r="F483" i="94" s="1"/>
  <c r="D31" i="74"/>
  <c r="F35" i="78"/>
  <c r="J22" i="75"/>
  <c r="J791" i="94" s="1"/>
  <c r="L791" i="94" s="1"/>
  <c r="M791" i="94" s="1"/>
  <c r="E10" i="86"/>
  <c r="I31" i="74"/>
  <c r="I1059" i="94" s="1"/>
  <c r="H31" i="74"/>
  <c r="C21" i="90"/>
  <c r="K31" i="74"/>
  <c r="G31" i="74"/>
  <c r="E31" i="86"/>
  <c r="F16" i="86"/>
  <c r="M132" i="78"/>
  <c r="M149" i="78" s="1"/>
  <c r="M151" i="78" s="1"/>
  <c r="M153" i="78" s="1"/>
  <c r="S132" i="78"/>
  <c r="J164" i="78"/>
  <c r="E35" i="78"/>
  <c r="P132" i="78"/>
  <c r="P149" i="78" s="1"/>
  <c r="P151" i="78" s="1"/>
  <c r="P153" i="78" s="1"/>
  <c r="V132" i="78"/>
  <c r="E36" i="78"/>
  <c r="E37" i="78"/>
  <c r="H1" i="91"/>
  <c r="K60" i="84"/>
  <c r="M34" i="75"/>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E1059" i="94" s="1"/>
  <c r="C98" i="74"/>
  <c r="C1126" i="94" s="1"/>
  <c r="E32" i="86"/>
  <c r="F11" i="86"/>
  <c r="J58" i="74"/>
  <c r="F26" i="74"/>
  <c r="J90" i="74"/>
  <c r="E63" i="74"/>
  <c r="E1091" i="94" s="1"/>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H65" i="82"/>
  <c r="E65" i="82"/>
  <c r="G12" i="86"/>
  <c r="G99" i="74"/>
  <c r="G1127" i="94" s="1"/>
  <c r="C30" i="74"/>
  <c r="C1058" i="94" s="1"/>
  <c r="H16" i="86"/>
  <c r="I16" i="86"/>
  <c r="F34" i="86"/>
  <c r="D14" i="86"/>
  <c r="D63" i="74"/>
  <c r="D1091" i="94" s="1"/>
  <c r="F31" i="74"/>
  <c r="F1059" i="94" s="1"/>
  <c r="G51" i="86"/>
  <c r="C52" i="86"/>
  <c r="I31" i="86"/>
  <c r="G52" i="86"/>
  <c r="D51" i="86"/>
  <c r="H51" i="86"/>
  <c r="F63" i="74"/>
  <c r="F1091" i="94" s="1"/>
  <c r="B31" i="74"/>
  <c r="B1059" i="94" s="1"/>
  <c r="F31" i="86"/>
  <c r="J31" i="74"/>
  <c r="J1059" i="94" s="1"/>
  <c r="F14" i="86"/>
  <c r="F52" i="86"/>
  <c r="H31" i="86"/>
  <c r="H36" i="74"/>
  <c r="H1064" i="94" s="1"/>
  <c r="C75" i="84"/>
  <c r="B45" i="82"/>
  <c r="R116" i="74"/>
  <c r="S116" i="74" s="1"/>
  <c r="I45" i="82"/>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K65" i="82" l="1"/>
  <c r="D1085" i="94"/>
  <c r="B1117" i="94"/>
  <c r="E1117" i="94"/>
  <c r="C1117" i="94"/>
  <c r="J1117" i="94"/>
  <c r="D1067" i="94"/>
  <c r="E39" i="74"/>
  <c r="L17" i="75"/>
  <c r="M17" i="75" s="1"/>
  <c r="H18" i="84"/>
  <c r="J18" i="84" s="1"/>
  <c r="Q340" i="72"/>
  <c r="L154" i="75"/>
  <c r="E40" i="87"/>
  <c r="B1148" i="94"/>
  <c r="B182" i="95"/>
  <c r="B538" i="91"/>
  <c r="B126" i="95"/>
  <c r="B346" i="91"/>
  <c r="E30" i="87"/>
  <c r="B1118" i="94"/>
  <c r="E28" i="87"/>
  <c r="J1086" i="94"/>
  <c r="E32" i="87"/>
  <c r="D1118" i="94"/>
  <c r="G65" i="82"/>
  <c r="E25" i="87"/>
  <c r="G1086" i="94"/>
  <c r="E10" i="87"/>
  <c r="B1054" i="94"/>
  <c r="E33" i="87"/>
  <c r="E1118" i="94"/>
  <c r="E23" i="87"/>
  <c r="E1086" i="94"/>
  <c r="E12" i="87"/>
  <c r="D1054" i="94"/>
  <c r="M154" i="75"/>
  <c r="B91" i="95"/>
  <c r="B238" i="91"/>
  <c r="B139" i="95"/>
  <c r="B397" i="91"/>
  <c r="B158" i="95"/>
  <c r="B459" i="91"/>
  <c r="B54" i="95"/>
  <c r="B108" i="91"/>
  <c r="B102" i="95"/>
  <c r="B266" i="91"/>
  <c r="B192" i="95"/>
  <c r="B572" i="91"/>
  <c r="B67" i="95"/>
  <c r="B159" i="91"/>
  <c r="I14" i="86"/>
  <c r="H1059" i="94"/>
  <c r="E36" i="87"/>
  <c r="H1118" i="94"/>
  <c r="E31" i="87"/>
  <c r="C1118" i="94"/>
  <c r="B163" i="95"/>
  <c r="B476" i="91"/>
  <c r="B72" i="95"/>
  <c r="B176" i="91"/>
  <c r="B187" i="95"/>
  <c r="B555" i="91"/>
  <c r="B144" i="95"/>
  <c r="B414" i="91"/>
  <c r="B38" i="95"/>
  <c r="B63" i="91"/>
  <c r="R1114" i="94"/>
  <c r="S1114" i="94" s="1"/>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E14" i="87"/>
  <c r="F1054" i="94"/>
  <c r="E11" i="87"/>
  <c r="C1054" i="94"/>
  <c r="E42" i="87"/>
  <c r="D1148" i="94"/>
  <c r="E26" i="87"/>
  <c r="H1086" i="94"/>
  <c r="E17" i="87"/>
  <c r="I1054" i="94"/>
  <c r="B78" i="95"/>
  <c r="B187" i="91"/>
  <c r="B150" i="95"/>
  <c r="B425" i="91"/>
  <c r="E14" i="86"/>
  <c r="D1059" i="94"/>
  <c r="E66" i="74"/>
  <c r="E1094" i="94" s="1"/>
  <c r="C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34" i="86"/>
  <c r="K1059" i="94"/>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E1067" i="94" l="1"/>
  <c r="F39" i="74"/>
  <c r="F10" i="86"/>
  <c r="G10" i="86"/>
  <c r="I58" i="73"/>
  <c r="F1228" i="94"/>
  <c r="I1228" i="94" s="1"/>
  <c r="N1232" i="94"/>
  <c r="F1221" i="94"/>
  <c r="I45" i="73"/>
  <c r="F1215" i="94"/>
  <c r="I1215" i="94" s="1"/>
  <c r="C40" i="84"/>
  <c r="E30" i="74"/>
  <c r="E1058" i="94" s="1"/>
  <c r="D1058" i="94"/>
  <c r="H57" i="73"/>
  <c r="H1227" i="94" s="1"/>
  <c r="F1227" i="94"/>
  <c r="I1227" i="94" s="1"/>
  <c r="H63" i="73"/>
  <c r="H1233" i="94" s="1"/>
  <c r="F1233" i="94"/>
  <c r="I1233" i="94" s="1"/>
  <c r="F1219" i="94"/>
  <c r="I1225" i="94"/>
  <c r="M2058" i="94"/>
  <c r="J2058" i="94"/>
  <c r="J2059" i="94" s="1"/>
  <c r="K35" i="84"/>
  <c r="N1225" i="94"/>
  <c r="I1232" i="94"/>
  <c r="P429" i="94"/>
  <c r="P428"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1067" i="94" l="1"/>
  <c r="G39" i="74"/>
  <c r="H10" i="86" s="1"/>
  <c r="P430" i="94"/>
  <c r="F1230" i="94"/>
  <c r="I1230" i="94"/>
  <c r="N1629" i="94"/>
  <c r="N1630" i="94"/>
  <c r="N1230" i="94"/>
  <c r="N65" i="73"/>
  <c r="K1235" i="94"/>
  <c r="M45" i="73"/>
  <c r="M1215" i="94" s="1"/>
  <c r="K1215" i="94"/>
  <c r="N1215" i="94" s="1"/>
  <c r="E14" i="74"/>
  <c r="B1042" i="94"/>
  <c r="I1218" i="94"/>
  <c r="N1211" i="94"/>
  <c r="I66" i="73"/>
  <c r="F1236" i="94"/>
  <c r="I1236" i="94" s="1"/>
  <c r="I1237" i="94" s="1"/>
  <c r="M43" i="73"/>
  <c r="M1213" i="94" s="1"/>
  <c r="K1213" i="94"/>
  <c r="N1213" i="94" s="1"/>
  <c r="I1211" i="94"/>
  <c r="I1216" i="94" s="1"/>
  <c r="F1216" i="94"/>
  <c r="K463" i="73"/>
  <c r="K1633" i="94"/>
  <c r="N66" i="73"/>
  <c r="K1236" i="94"/>
  <c r="N1236" i="94" s="1"/>
  <c r="I52" i="73"/>
  <c r="F1222" i="94"/>
  <c r="I1222" i="94" s="1"/>
  <c r="K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42" i="94" l="1"/>
  <c r="C1042" i="94"/>
  <c r="E1042" i="94"/>
  <c r="F1042" i="94"/>
  <c r="G1067" i="94"/>
  <c r="H39" i="74"/>
  <c r="I10" i="86" s="1"/>
  <c r="F1237" i="94"/>
  <c r="N67" i="73"/>
  <c r="K1216" i="94"/>
  <c r="N1216" i="94"/>
  <c r="H8" i="88"/>
  <c r="I8" i="88" s="1"/>
  <c r="J600" i="94"/>
  <c r="J601" i="94" s="1"/>
  <c r="J603" i="94" s="1"/>
  <c r="F1223" i="94"/>
  <c r="N1235" i="94"/>
  <c r="N1237" i="94" s="1"/>
  <c r="K1237" i="94"/>
  <c r="M600" i="94"/>
  <c r="M601" i="94" s="1"/>
  <c r="M603" i="94" s="1"/>
  <c r="I1223" i="94"/>
  <c r="H1239"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D15" i="74"/>
  <c r="H1067" i="94"/>
  <c r="I39" i="74"/>
  <c r="C30" i="86" s="1"/>
  <c r="C20" i="84"/>
  <c r="J604" i="94"/>
  <c r="Q229" i="75"/>
  <c r="S1805" i="94"/>
  <c r="F1239" i="94"/>
  <c r="N1634" i="94"/>
  <c r="O1634" i="94" s="1"/>
  <c r="F15" i="74"/>
  <c r="B1043" i="94"/>
  <c r="C15" i="74"/>
  <c r="B16" i="74"/>
  <c r="B1044" i="94" s="1"/>
  <c r="C53" i="84"/>
  <c r="E53" i="84" s="1"/>
  <c r="E54" i="84" s="1"/>
  <c r="E56" i="84" s="1"/>
  <c r="E64" i="84" s="1"/>
  <c r="M1239" i="94"/>
  <c r="O2083" i="94"/>
  <c r="O2084" i="94" s="1"/>
  <c r="O2077" i="94"/>
  <c r="O2078" i="94" s="1"/>
  <c r="I1941" i="94"/>
  <c r="AE559" i="94"/>
  <c r="M1478" i="94"/>
  <c r="L1478" i="94" s="1"/>
  <c r="M1475" i="94"/>
  <c r="L1475" i="94" s="1"/>
  <c r="O1402" i="94"/>
  <c r="N1631" i="94"/>
  <c r="AE562" i="94"/>
  <c r="AE560" i="94"/>
  <c r="AE563" i="94"/>
  <c r="AE561" i="94"/>
  <c r="AE564" i="94"/>
  <c r="G15" i="74"/>
  <c r="G1043" i="94" s="1"/>
  <c r="E15" i="7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D16" i="74"/>
  <c r="D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21" i="74" l="1"/>
  <c r="Q219" i="75" s="1"/>
  <c r="E1043" i="94"/>
  <c r="D1043" i="94"/>
  <c r="D21" i="74"/>
  <c r="B1049" i="94"/>
  <c r="H1042" i="94"/>
  <c r="C1043" i="94"/>
  <c r="I1067" i="94"/>
  <c r="J39" i="74"/>
  <c r="O58" i="72"/>
  <c r="O1713" i="94" s="1"/>
  <c r="AF562" i="94"/>
  <c r="G53" i="84"/>
  <c r="G54" i="84" s="1"/>
  <c r="I53" i="84"/>
  <c r="I54" i="84" s="1"/>
  <c r="I56" i="84" s="1"/>
  <c r="I64" i="84" s="1"/>
  <c r="K53" i="84"/>
  <c r="K54" i="84" s="1"/>
  <c r="K56" i="84" s="1"/>
  <c r="K64" i="84" s="1"/>
  <c r="C16" i="74"/>
  <c r="C1044" i="94" s="1"/>
  <c r="E16" i="74"/>
  <c r="E1044" i="94" s="1"/>
  <c r="L4" i="95"/>
  <c r="B19" i="74"/>
  <c r="C54" i="84"/>
  <c r="C56" i="84" s="1"/>
  <c r="C64" i="84" s="1"/>
  <c r="K7" i="74"/>
  <c r="K1035" i="94" s="1"/>
  <c r="G16" i="74"/>
  <c r="G1044" i="94" s="1"/>
  <c r="K5" i="74"/>
  <c r="K1033" i="94" s="1"/>
  <c r="J4" i="91"/>
  <c r="N1633" i="94"/>
  <c r="K1634" i="94"/>
  <c r="AF559"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D19" i="74"/>
  <c r="D1047" i="94" s="1"/>
  <c r="C33" i="86"/>
  <c r="D13" i="86"/>
  <c r="H16" i="74"/>
  <c r="H1044" i="94" s="1"/>
  <c r="E13" i="86"/>
  <c r="I53" i="82"/>
  <c r="J30" i="74"/>
  <c r="J1058" i="94" s="1"/>
  <c r="L240" i="72"/>
  <c r="K240" i="72"/>
  <c r="I23" i="74"/>
  <c r="I1051" i="94" s="1"/>
  <c r="J13" i="74"/>
  <c r="I15" i="74"/>
  <c r="I1043" i="94" s="1"/>
  <c r="I14" i="74"/>
  <c r="I13" i="86"/>
  <c r="H13" i="86"/>
  <c r="F13" i="86"/>
  <c r="G13" i="86"/>
  <c r="Q988" i="94" l="1"/>
  <c r="O990" i="94" s="1"/>
  <c r="H21" i="74"/>
  <c r="H1049" i="94" s="1"/>
  <c r="F1049" i="94"/>
  <c r="I1042" i="94"/>
  <c r="G21" i="74"/>
  <c r="C21" i="74"/>
  <c r="Q996" i="94"/>
  <c r="O989" i="94"/>
  <c r="D1049" i="94"/>
  <c r="E21" i="74"/>
  <c r="C70" i="84"/>
  <c r="C76" i="84" s="1"/>
  <c r="C73" i="84" s="1"/>
  <c r="C68" i="84"/>
  <c r="Q227" i="75"/>
  <c r="O221" i="75"/>
  <c r="O220" i="75"/>
  <c r="J1067" i="94"/>
  <c r="K39" i="74"/>
  <c r="E30" i="86" s="1"/>
  <c r="D30" i="86"/>
  <c r="O50" i="72"/>
  <c r="O1705" i="94" s="1"/>
  <c r="R1705" i="94" s="1"/>
  <c r="E19" i="74"/>
  <c r="E1047" i="94" s="1"/>
  <c r="E118" i="78"/>
  <c r="A118" i="78" s="1"/>
  <c r="G56" i="84"/>
  <c r="G64" i="84" s="1"/>
  <c r="G19" i="74"/>
  <c r="G1047" i="94" s="1"/>
  <c r="C19" i="74"/>
  <c r="C1047" i="94" s="1"/>
  <c r="B1047" i="94"/>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C72" i="84" l="1"/>
  <c r="I21" i="74"/>
  <c r="E1049" i="94"/>
  <c r="N996" i="94"/>
  <c r="P997" i="94"/>
  <c r="Q1015" i="94"/>
  <c r="J1042" i="94"/>
  <c r="B20" i="74"/>
  <c r="K20" i="74" s="1"/>
  <c r="F122" i="78"/>
  <c r="F568" i="94" s="1"/>
  <c r="F121" i="78"/>
  <c r="F567" i="94" s="1"/>
  <c r="Q246" i="75"/>
  <c r="P228" i="75"/>
  <c r="N227" i="75"/>
  <c r="G1049" i="94"/>
  <c r="K68" i="84"/>
  <c r="K70" i="84" s="1"/>
  <c r="G68" i="84"/>
  <c r="G70" i="84" s="1"/>
  <c r="E68" i="84"/>
  <c r="E70" i="84" s="1"/>
  <c r="I68" i="84"/>
  <c r="I70" i="84" s="1"/>
  <c r="C1049" i="94"/>
  <c r="K1067" i="94"/>
  <c r="B71" i="74"/>
  <c r="M628" i="94"/>
  <c r="J630" i="94"/>
  <c r="R50" i="72"/>
  <c r="E564" i="94"/>
  <c r="A564" i="94" s="1"/>
  <c r="F1047" i="94"/>
  <c r="J171" i="78"/>
  <c r="J173" i="78" s="1"/>
  <c r="I19" i="74"/>
  <c r="K23" i="74"/>
  <c r="K1051" i="94" s="1"/>
  <c r="B45" i="74"/>
  <c r="K14" i="74"/>
  <c r="K15" i="74"/>
  <c r="K1043" i="94" s="1"/>
  <c r="K22" i="74"/>
  <c r="K1050" i="94" s="1"/>
  <c r="D33" i="86"/>
  <c r="B62" i="74"/>
  <c r="B1090" i="94" s="1"/>
  <c r="K53" i="82"/>
  <c r="J16" i="74"/>
  <c r="J1044" i="94" s="1"/>
  <c r="G72" i="84" l="1"/>
  <c r="G76" i="84"/>
  <c r="G73" i="84" s="1"/>
  <c r="K1042" i="94"/>
  <c r="E76" i="84"/>
  <c r="E73" i="84" s="1"/>
  <c r="E72" i="84"/>
  <c r="J21" i="74"/>
  <c r="K72" i="84"/>
  <c r="K76" i="84"/>
  <c r="K73" i="84" s="1"/>
  <c r="I76" i="84"/>
  <c r="I73" i="84" s="1"/>
  <c r="I72" i="84"/>
  <c r="B38" i="74"/>
  <c r="B1066" i="94" s="1"/>
  <c r="D20" i="74"/>
  <c r="E20" i="74"/>
  <c r="C20" i="74"/>
  <c r="B1048" i="94"/>
  <c r="F20" i="74"/>
  <c r="G20" i="74"/>
  <c r="H20" i="74"/>
  <c r="I20" i="74"/>
  <c r="I1048" i="94" s="1"/>
  <c r="B24" i="74"/>
  <c r="J20" i="74"/>
  <c r="J1048" i="94" s="1"/>
  <c r="I1049" i="94"/>
  <c r="I38" i="74"/>
  <c r="I1066" i="94" s="1"/>
  <c r="F30" i="86"/>
  <c r="B1099" i="94"/>
  <c r="C71" i="74"/>
  <c r="K1048" i="94"/>
  <c r="B15" i="82"/>
  <c r="J176" i="78"/>
  <c r="J180" i="78" s="1"/>
  <c r="I1047" i="94"/>
  <c r="J19" i="74"/>
  <c r="K16" i="74"/>
  <c r="K1044" i="94" s="1"/>
  <c r="C45" i="74"/>
  <c r="B55" i="74"/>
  <c r="B1083" i="94" s="1"/>
  <c r="B47" i="74"/>
  <c r="B1075" i="94" s="1"/>
  <c r="B46" i="74"/>
  <c r="B52" i="74"/>
  <c r="B54" i="74"/>
  <c r="B1082" i="94" s="1"/>
  <c r="C62" i="74"/>
  <c r="C1090" i="94" s="1"/>
  <c r="B73" i="82"/>
  <c r="E33" i="86"/>
  <c r="K21" i="74" l="1"/>
  <c r="C1048" i="94"/>
  <c r="C24" i="74"/>
  <c r="C38" i="74"/>
  <c r="C1066" i="94" s="1"/>
  <c r="J1049" i="94"/>
  <c r="J38" i="74"/>
  <c r="J1066" i="94" s="1"/>
  <c r="I24" i="74"/>
  <c r="I1052" i="94" s="1"/>
  <c r="E1048" i="94"/>
  <c r="E24" i="74"/>
  <c r="E38" i="74"/>
  <c r="E1066" i="94" s="1"/>
  <c r="B1074" i="94"/>
  <c r="H1048" i="94"/>
  <c r="H38" i="74"/>
  <c r="H1066" i="94" s="1"/>
  <c r="H24" i="74"/>
  <c r="G1048" i="94"/>
  <c r="G24" i="74"/>
  <c r="G38" i="74"/>
  <c r="G1066" i="94" s="1"/>
  <c r="B44" i="82"/>
  <c r="B37" i="74"/>
  <c r="B1065" i="94" s="1"/>
  <c r="B32" i="74"/>
  <c r="B33" i="74"/>
  <c r="B1061" i="94" s="1"/>
  <c r="B1052" i="94"/>
  <c r="F1048" i="94"/>
  <c r="F38" i="74"/>
  <c r="F1066" i="94" s="1"/>
  <c r="F24" i="74"/>
  <c r="D1048" i="94"/>
  <c r="D24" i="74"/>
  <c r="D38" i="74"/>
  <c r="D1066" i="94" s="1"/>
  <c r="G30" i="86"/>
  <c r="D71" i="74"/>
  <c r="C1099" i="94"/>
  <c r="B1080" i="94"/>
  <c r="I37" i="74"/>
  <c r="I1065" i="94" s="1"/>
  <c r="M182" i="78"/>
  <c r="J184" i="78"/>
  <c r="J24" i="74"/>
  <c r="J1047" i="94"/>
  <c r="C73" i="82"/>
  <c r="D62" i="74"/>
  <c r="D1090" i="94" s="1"/>
  <c r="C47" i="74"/>
  <c r="C1075" i="94" s="1"/>
  <c r="C55" i="74"/>
  <c r="C1083" i="94" s="1"/>
  <c r="D45" i="74"/>
  <c r="C46" i="74"/>
  <c r="C52" i="74"/>
  <c r="C54" i="74"/>
  <c r="C1082" i="94" s="1"/>
  <c r="B48" i="74"/>
  <c r="B1076" i="94" s="1"/>
  <c r="F33" i="86"/>
  <c r="K19" i="74"/>
  <c r="K1047" i="94" s="1"/>
  <c r="I44" i="82" l="1"/>
  <c r="I46" i="82" s="1"/>
  <c r="I33" i="74"/>
  <c r="I1061" i="94" s="1"/>
  <c r="I32" i="74"/>
  <c r="I1060" i="94" s="1"/>
  <c r="D37" i="74"/>
  <c r="D1065" i="94" s="1"/>
  <c r="D44" i="82"/>
  <c r="D1052" i="94"/>
  <c r="D33" i="74"/>
  <c r="D1061" i="94" s="1"/>
  <c r="D32" i="74"/>
  <c r="B53" i="74"/>
  <c r="C1074" i="94"/>
  <c r="B51" i="82"/>
  <c r="B46" i="82"/>
  <c r="H44" i="82"/>
  <c r="H32" i="74"/>
  <c r="H1052" i="94"/>
  <c r="H33" i="74"/>
  <c r="H1061" i="94" s="1"/>
  <c r="H37" i="74"/>
  <c r="H1065" i="94" s="1"/>
  <c r="C33" i="74"/>
  <c r="C1061" i="94" s="1"/>
  <c r="C37" i="74"/>
  <c r="C1065" i="94" s="1"/>
  <c r="C44" i="82"/>
  <c r="C1052" i="94"/>
  <c r="C32" i="74"/>
  <c r="F33" i="74"/>
  <c r="F1061" i="94" s="1"/>
  <c r="F1052" i="94"/>
  <c r="F37" i="74"/>
  <c r="F1065" i="94" s="1"/>
  <c r="F44" i="82"/>
  <c r="F32" i="74"/>
  <c r="B1060" i="94"/>
  <c r="S20" i="74"/>
  <c r="S1048" i="94" s="1"/>
  <c r="C9" i="86"/>
  <c r="C17" i="86" s="1"/>
  <c r="C18" i="86" s="1"/>
  <c r="C20" i="86" s="1"/>
  <c r="C24" i="86" s="1"/>
  <c r="K6" i="86" s="1"/>
  <c r="G66" i="86" s="1"/>
  <c r="N85" i="85" s="1"/>
  <c r="G1052" i="94"/>
  <c r="G44" i="82"/>
  <c r="G33" i="74"/>
  <c r="G1061" i="94" s="1"/>
  <c r="G32" i="74"/>
  <c r="G37" i="74"/>
  <c r="G1065" i="94" s="1"/>
  <c r="E37" i="74"/>
  <c r="E1065" i="94" s="1"/>
  <c r="E32" i="74"/>
  <c r="E44" i="82"/>
  <c r="E1052" i="94"/>
  <c r="E33" i="74"/>
  <c r="E1061" i="94" s="1"/>
  <c r="K1049" i="94"/>
  <c r="K38" i="74"/>
  <c r="K1066" i="94" s="1"/>
  <c r="H30" i="86"/>
  <c r="E71" i="74"/>
  <c r="D1099" i="94"/>
  <c r="C1080" i="94"/>
  <c r="J1052" i="94"/>
  <c r="J33" i="74"/>
  <c r="J1061" i="94" s="1"/>
  <c r="J37" i="74"/>
  <c r="J1065" i="94" s="1"/>
  <c r="C21" i="86"/>
  <c r="L50" i="68"/>
  <c r="M61" i="85"/>
  <c r="P61" i="85" s="1"/>
  <c r="E99" i="78"/>
  <c r="I9" i="66"/>
  <c r="I34" i="94"/>
  <c r="L49" i="68"/>
  <c r="I51" i="82"/>
  <c r="J44" i="82"/>
  <c r="J51" i="82" s="1"/>
  <c r="J32" i="74"/>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S27" i="74" l="1"/>
  <c r="S1055" i="94" s="1"/>
  <c r="F51" i="82"/>
  <c r="F46" i="82"/>
  <c r="C1060" i="94"/>
  <c r="S22" i="74"/>
  <c r="S1050" i="94" s="1"/>
  <c r="S24" i="74"/>
  <c r="S1052" i="94" s="1"/>
  <c r="S23" i="74"/>
  <c r="S1051" i="94" s="1"/>
  <c r="S21" i="74"/>
  <c r="S1049" i="94" s="1"/>
  <c r="S26" i="74"/>
  <c r="S1054" i="94" s="1"/>
  <c r="S25" i="74"/>
  <c r="S1053" i="94" s="1"/>
  <c r="D9" i="86"/>
  <c r="D17" i="86" s="1"/>
  <c r="D18" i="86" s="1"/>
  <c r="D20" i="86" s="1"/>
  <c r="D24" i="86" s="1"/>
  <c r="K7" i="86" s="1"/>
  <c r="H1060" i="94"/>
  <c r="I9" i="86"/>
  <c r="I17" i="86" s="1"/>
  <c r="I18" i="86" s="1"/>
  <c r="I20" i="86" s="1"/>
  <c r="I24" i="86" s="1"/>
  <c r="K12" i="86" s="1"/>
  <c r="C53" i="74"/>
  <c r="E1060" i="94"/>
  <c r="F9" i="86"/>
  <c r="F17" i="86" s="1"/>
  <c r="F18" i="86" s="1"/>
  <c r="F20" i="86" s="1"/>
  <c r="F24" i="86" s="1"/>
  <c r="K9" i="86" s="1"/>
  <c r="H51" i="82"/>
  <c r="H46" i="82"/>
  <c r="H9" i="86"/>
  <c r="H17" i="86" s="1"/>
  <c r="H18" i="86" s="1"/>
  <c r="H20" i="86" s="1"/>
  <c r="H24" i="86" s="1"/>
  <c r="K11" i="86" s="1"/>
  <c r="G1060" i="94"/>
  <c r="G51" i="82"/>
  <c r="G46" i="82"/>
  <c r="C46" i="82"/>
  <c r="C51" i="82"/>
  <c r="B1081" i="94"/>
  <c r="B70" i="74"/>
  <c r="B1098" i="94" s="1"/>
  <c r="D46" i="82"/>
  <c r="D51" i="82"/>
  <c r="E46" i="82"/>
  <c r="E51" i="82"/>
  <c r="S28" i="74"/>
  <c r="S1056" i="94" s="1"/>
  <c r="D1074" i="94"/>
  <c r="F1060" i="94"/>
  <c r="G9" i="86"/>
  <c r="G17" i="86" s="1"/>
  <c r="G18" i="86" s="1"/>
  <c r="G20" i="86" s="1"/>
  <c r="G24" i="86" s="1"/>
  <c r="K10" i="86" s="1"/>
  <c r="D1060" i="94"/>
  <c r="E9" i="86"/>
  <c r="E17" i="86" s="1"/>
  <c r="E18" i="86" s="1"/>
  <c r="E20" i="86" s="1"/>
  <c r="E24" i="86" s="1"/>
  <c r="K8" i="86" s="1"/>
  <c r="I30" i="86"/>
  <c r="E1099" i="94"/>
  <c r="F71" i="74"/>
  <c r="D1080" i="94"/>
  <c r="C41" i="86"/>
  <c r="D41" i="86" s="1"/>
  <c r="E41" i="86" s="1"/>
  <c r="D21" i="86"/>
  <c r="C22" i="86"/>
  <c r="C42" i="86" s="1"/>
  <c r="D42" i="86" s="1"/>
  <c r="E42" i="86" s="1"/>
  <c r="K1052" i="94"/>
  <c r="K33" i="74"/>
  <c r="K1061" i="94" s="1"/>
  <c r="K37" i="74"/>
  <c r="K1065" i="94" s="1"/>
  <c r="E545" i="94"/>
  <c r="J545" i="94" s="1"/>
  <c r="J99" i="78"/>
  <c r="B14" i="82"/>
  <c r="N49" i="68"/>
  <c r="N428" i="94" s="1"/>
  <c r="L428" i="94"/>
  <c r="N50" i="68"/>
  <c r="N429" i="94" s="1"/>
  <c r="L429" i="94"/>
  <c r="D29" i="86"/>
  <c r="D37" i="86" s="1"/>
  <c r="D38" i="86" s="1"/>
  <c r="D40" i="86" s="1"/>
  <c r="D44" i="86" s="1"/>
  <c r="K14" i="86" s="1"/>
  <c r="J46" i="82"/>
  <c r="J1060" i="94"/>
  <c r="C51" i="74"/>
  <c r="E73" i="82"/>
  <c r="F62" i="74"/>
  <c r="F1090" i="94" s="1"/>
  <c r="D48" i="74"/>
  <c r="D1076" i="94" s="1"/>
  <c r="B56" i="74"/>
  <c r="K44" i="82"/>
  <c r="K32" i="74"/>
  <c r="K1060" i="94" s="1"/>
  <c r="E46" i="74"/>
  <c r="E55" i="74"/>
  <c r="E1083" i="94" s="1"/>
  <c r="F45" i="74"/>
  <c r="E47" i="74"/>
  <c r="E1075" i="94" s="1"/>
  <c r="E52" i="74"/>
  <c r="E54" i="74"/>
  <c r="E1082" i="94" s="1"/>
  <c r="H33" i="86"/>
  <c r="D53" i="74" l="1"/>
  <c r="E1074" i="94"/>
  <c r="C1081" i="94"/>
  <c r="C70" i="74"/>
  <c r="C1098" i="94" s="1"/>
  <c r="C50" i="86"/>
  <c r="F1099" i="94"/>
  <c r="G71" i="74"/>
  <c r="E1080" i="94"/>
  <c r="E21" i="86"/>
  <c r="D22" i="86"/>
  <c r="B1084" i="94"/>
  <c r="B65" i="74"/>
  <c r="B1093" i="94" s="1"/>
  <c r="B69" i="74"/>
  <c r="B1097" i="94" s="1"/>
  <c r="B20" i="82"/>
  <c r="B21" i="82" s="1"/>
  <c r="G20" i="82"/>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074" i="94" l="1"/>
  <c r="E53" i="74"/>
  <c r="D1081" i="94"/>
  <c r="D70" i="74"/>
  <c r="D1098" i="94" s="1"/>
  <c r="D50" i="86"/>
  <c r="H71" i="74"/>
  <c r="G1099" i="94"/>
  <c r="F1080" i="94"/>
  <c r="C1084" i="94"/>
  <c r="C65" i="74"/>
  <c r="C1093" i="94" s="1"/>
  <c r="C69" i="74"/>
  <c r="C1097" i="94" s="1"/>
  <c r="E22" i="86"/>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081" i="94" l="1"/>
  <c r="E70" i="74"/>
  <c r="E1098" i="94" s="1"/>
  <c r="F53" i="74"/>
  <c r="G1074" i="94"/>
  <c r="E50" i="86"/>
  <c r="H1099" i="94"/>
  <c r="I71" i="74"/>
  <c r="G1080" i="94"/>
  <c r="D1084" i="94"/>
  <c r="D65" i="74"/>
  <c r="D1093" i="94" s="1"/>
  <c r="D69" i="74"/>
  <c r="D1097" i="94" s="1"/>
  <c r="G21" i="86"/>
  <c r="F22" i="86"/>
  <c r="G29" i="86"/>
  <c r="G37" i="86" s="1"/>
  <c r="G38" i="86" s="1"/>
  <c r="G40" i="86" s="1"/>
  <c r="G44" i="86" s="1"/>
  <c r="K17" i="86" s="1"/>
  <c r="S31" i="74"/>
  <c r="S1059" i="94"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H1074" i="94"/>
  <c r="G53" i="74"/>
  <c r="F50" i="86"/>
  <c r="I1099" i="94"/>
  <c r="J71" i="74"/>
  <c r="H1080" i="94"/>
  <c r="G22" i="86"/>
  <c r="H21" i="86"/>
  <c r="E65" i="74"/>
  <c r="E1093" i="94" s="1"/>
  <c r="E69" i="74"/>
  <c r="E1097" i="94"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I73" i="82"/>
  <c r="F56" i="74"/>
  <c r="J1090" i="94" l="1"/>
  <c r="K62" i="74"/>
  <c r="H53" i="74"/>
  <c r="I1074" i="94"/>
  <c r="G1081" i="94"/>
  <c r="G70" i="74"/>
  <c r="G1098" i="94" s="1"/>
  <c r="G50" i="86"/>
  <c r="K71" i="74"/>
  <c r="J1099" i="94"/>
  <c r="I1080" i="94"/>
  <c r="F1084" i="94"/>
  <c r="F65" i="74"/>
  <c r="F1093" i="94" s="1"/>
  <c r="F69" i="74"/>
  <c r="F1097" i="94" s="1"/>
  <c r="I21" i="86"/>
  <c r="I22" i="86" s="1"/>
  <c r="H22"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I53" i="74" l="1"/>
  <c r="J1074" i="94"/>
  <c r="H1081" i="94"/>
  <c r="H70" i="74"/>
  <c r="H1098" i="94" s="1"/>
  <c r="H50" i="86"/>
  <c r="L93" i="85"/>
  <c r="K1099" i="94"/>
  <c r="C85" i="90"/>
  <c r="O8" i="86"/>
  <c r="O14" i="86" s="1"/>
  <c r="O33" i="86" s="1"/>
  <c r="H63" i="86" s="1"/>
  <c r="B102" i="74"/>
  <c r="L63" i="85"/>
  <c r="J1080" i="94"/>
  <c r="G1084" i="94"/>
  <c r="G65" i="74"/>
  <c r="G1093" i="94" s="1"/>
  <c r="G69" i="74"/>
  <c r="G1097" i="94" s="1"/>
  <c r="I51" i="74"/>
  <c r="F66" i="82"/>
  <c r="F71" i="82"/>
  <c r="F74" i="82" s="1"/>
  <c r="G53" i="86"/>
  <c r="G57" i="86" s="1"/>
  <c r="G58" i="86" s="1"/>
  <c r="G60" i="86" s="1"/>
  <c r="G64" i="86" s="1"/>
  <c r="K24" i="86" s="1"/>
  <c r="G64" i="82"/>
  <c r="G64" i="74"/>
  <c r="G1092" i="94" s="1"/>
  <c r="J48" i="74"/>
  <c r="J1076" i="94" s="1"/>
  <c r="C49" i="86"/>
  <c r="S34" i="74"/>
  <c r="K73" i="82"/>
  <c r="B1122" i="94"/>
  <c r="B77" i="74"/>
  <c r="K55" i="74"/>
  <c r="K1083" i="94" s="1"/>
  <c r="K46" i="74"/>
  <c r="K47" i="74"/>
  <c r="K1075" i="94" s="1"/>
  <c r="K52" i="74"/>
  <c r="K54" i="74"/>
  <c r="K1082" i="94" s="1"/>
  <c r="H56" i="74"/>
  <c r="K1074" i="94" l="1"/>
  <c r="J53" i="74"/>
  <c r="I1081" i="94"/>
  <c r="I70" i="74"/>
  <c r="I1098" i="94" s="1"/>
  <c r="B1130" i="94"/>
  <c r="C102" i="74"/>
  <c r="K1080" i="94"/>
  <c r="H1084" i="94"/>
  <c r="H65" i="74"/>
  <c r="H1093" i="94" s="1"/>
  <c r="H69" i="74"/>
  <c r="H1097" i="94"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J1081" i="94" l="1"/>
  <c r="J70" i="74"/>
  <c r="J1098" i="94" s="1"/>
  <c r="K53" i="74"/>
  <c r="B1106" i="94"/>
  <c r="D102" i="74"/>
  <c r="C1130" i="94"/>
  <c r="B1112" i="94"/>
  <c r="I1084" i="94"/>
  <c r="I65" i="74"/>
  <c r="I1093" i="94" s="1"/>
  <c r="I69" i="74"/>
  <c r="I1097" i="94" s="1"/>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K1081" i="94"/>
  <c r="K70" i="74"/>
  <c r="K1098" i="94" s="1"/>
  <c r="B85" i="74"/>
  <c r="E102" i="74"/>
  <c r="D1130" i="94"/>
  <c r="C1112" i="94"/>
  <c r="J1084" i="94"/>
  <c r="J65" i="74"/>
  <c r="J1093" i="94" s="1"/>
  <c r="J69" i="74"/>
  <c r="J1097" i="94" s="1"/>
  <c r="S37" i="74"/>
  <c r="S1065" i="94" s="1"/>
  <c r="I66" i="82"/>
  <c r="J64" i="74"/>
  <c r="J1092" i="94" s="1"/>
  <c r="J64" i="82"/>
  <c r="J66" i="82"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D1106" i="94" l="1"/>
  <c r="C85" i="74"/>
  <c r="B1113" i="94"/>
  <c r="B101" i="74"/>
  <c r="B1129" i="94" s="1"/>
  <c r="E1130" i="94"/>
  <c r="F102" i="74"/>
  <c r="D1112" i="94"/>
  <c r="K1084" i="94"/>
  <c r="K65" i="74"/>
  <c r="K1093" i="94" s="1"/>
  <c r="K69" i="74"/>
  <c r="K1097" i="94" s="1"/>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E1106" i="94"/>
  <c r="D85" i="74"/>
  <c r="G102" i="74"/>
  <c r="F1130" i="94"/>
  <c r="E1112" i="94"/>
  <c r="B96" i="74"/>
  <c r="B1124" i="94" s="1"/>
  <c r="B100" i="74"/>
  <c r="B1128" i="94" s="1"/>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D1113" i="94"/>
  <c r="D101" i="74"/>
  <c r="D1129" i="94" s="1"/>
  <c r="H102" i="74"/>
  <c r="G1130" i="94"/>
  <c r="F1112" i="94"/>
  <c r="C96" i="74"/>
  <c r="C1124" i="94" s="1"/>
  <c r="C100" i="74"/>
  <c r="C1128" i="94" s="1"/>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F85" i="74"/>
  <c r="E1113" i="94"/>
  <c r="E101" i="74"/>
  <c r="E1129" i="94" s="1"/>
  <c r="I102" i="74"/>
  <c r="H1130" i="94"/>
  <c r="G1112" i="94"/>
  <c r="D96" i="74"/>
  <c r="D1124" i="94" s="1"/>
  <c r="D100" i="74"/>
  <c r="D1128" i="94" s="1"/>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G85" i="74"/>
  <c r="H1106" i="94"/>
  <c r="J102" i="74"/>
  <c r="I1130" i="94"/>
  <c r="H1112" i="94"/>
  <c r="E96" i="74"/>
  <c r="E1124" i="94" s="1"/>
  <c r="E100" i="74"/>
  <c r="E1128" i="94" s="1"/>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I1106" i="94"/>
  <c r="H85" i="74"/>
  <c r="K102" i="74"/>
  <c r="J1130" i="94"/>
  <c r="I1112" i="94"/>
  <c r="F96" i="74"/>
  <c r="F1124" i="94" s="1"/>
  <c r="F100" i="74"/>
  <c r="F1128" i="94" s="1"/>
  <c r="F95" i="74"/>
  <c r="F1123" i="94" s="1"/>
  <c r="F1116" i="94"/>
  <c r="J79" i="74"/>
  <c r="J1107" i="94" s="1"/>
  <c r="K77" i="74"/>
  <c r="J78" i="74"/>
  <c r="J87" i="74"/>
  <c r="J1115" i="94" s="1"/>
  <c r="J84" i="74"/>
  <c r="J86" i="74"/>
  <c r="J1114" i="94" s="1"/>
  <c r="I80" i="74"/>
  <c r="I1108" i="94" s="1"/>
  <c r="K94" i="74"/>
  <c r="K1122" i="94" s="1"/>
  <c r="G88" i="74"/>
  <c r="H83" i="74"/>
  <c r="H1111" i="94" s="1"/>
  <c r="J1106" i="94" l="1"/>
  <c r="I85" i="74"/>
  <c r="H1113" i="94"/>
  <c r="H101" i="74"/>
  <c r="H1129" i="94" s="1"/>
  <c r="B132" i="74"/>
  <c r="K1130" i="94"/>
  <c r="J1112" i="94"/>
  <c r="G96" i="74"/>
  <c r="G1124" i="94" s="1"/>
  <c r="G100" i="74"/>
  <c r="G1128" i="94" s="1"/>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J85" i="74"/>
  <c r="B1160" i="94"/>
  <c r="C132" i="74"/>
  <c r="K1112" i="94"/>
  <c r="H96" i="74"/>
  <c r="H1124" i="94" s="1"/>
  <c r="H100" i="74"/>
  <c r="H1128" i="94" s="1"/>
  <c r="H95" i="74"/>
  <c r="H1123" i="94" s="1"/>
  <c r="H1116" i="94"/>
  <c r="J83" i="74"/>
  <c r="K80" i="74"/>
  <c r="K1108" i="94" s="1"/>
  <c r="C124" i="74"/>
  <c r="C1152" i="94" s="1"/>
  <c r="I88" i="74"/>
  <c r="B108" i="74"/>
  <c r="C107" i="74"/>
  <c r="B109" i="74"/>
  <c r="B1137" i="94" s="1"/>
  <c r="B117" i="74"/>
  <c r="B1145" i="94" s="1"/>
  <c r="B114" i="74"/>
  <c r="B116" i="74"/>
  <c r="B1144" i="94" s="1"/>
  <c r="B1136" i="94" l="1"/>
  <c r="K85" i="74"/>
  <c r="J1113" i="94"/>
  <c r="J101" i="74"/>
  <c r="J1129" i="94" s="1"/>
  <c r="D132" i="74"/>
  <c r="C1160" i="94"/>
  <c r="B1142" i="94"/>
  <c r="I96" i="74"/>
  <c r="I1124" i="94" s="1"/>
  <c r="I100" i="74"/>
  <c r="I1128" i="94" s="1"/>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B115" i="74"/>
  <c r="D1160" i="94"/>
  <c r="E132" i="74"/>
  <c r="C1142" i="94"/>
  <c r="J96" i="74"/>
  <c r="J1124" i="94" s="1"/>
  <c r="J100" i="74"/>
  <c r="J1128" i="94" s="1"/>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E1160" i="94"/>
  <c r="F132" i="74"/>
  <c r="F1160" i="94" s="1"/>
  <c r="D1142" i="94"/>
  <c r="K96" i="74"/>
  <c r="K1124" i="94" s="1"/>
  <c r="K100" i="74"/>
  <c r="K1128" i="94" s="1"/>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D115" i="74"/>
  <c r="E1136" i="94"/>
  <c r="E1142" i="94"/>
  <c r="B126" i="74"/>
  <c r="B1154" i="94" s="1"/>
  <c r="B130" i="74"/>
  <c r="B1158" i="94" s="1"/>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F1142" i="94"/>
  <c r="C126" i="74"/>
  <c r="C1154" i="94" s="1"/>
  <c r="C130" i="74"/>
  <c r="C1158" i="94" s="1"/>
  <c r="C125" i="74"/>
  <c r="C1153" i="94" s="1"/>
  <c r="C1146" i="94"/>
  <c r="E113" i="74"/>
  <c r="E1141" i="94" s="1"/>
  <c r="F110" i="74"/>
  <c r="F1138" i="94" s="1"/>
  <c r="D118" i="74"/>
  <c r="F115" i="74" l="1"/>
  <c r="E1143" i="94"/>
  <c r="E131" i="74"/>
  <c r="E1159" i="94" s="1"/>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l="1"/>
  <c r="E19" i="72"/>
  <c r="E20" i="72"/>
  <c r="E1675" i="94" s="1"/>
  <c r="O316" i="72"/>
  <c r="O443" i="72"/>
  <c r="E1674" i="94"/>
  <c r="O1956" i="94"/>
  <c r="O1971" i="94"/>
  <c r="O2098" i="94" s="1"/>
  <c r="O1661" i="94" s="1"/>
  <c r="P316" i="72"/>
  <c r="P443" i="72"/>
  <c r="P6" i="72" s="1"/>
  <c r="P1956" i="94"/>
  <c r="P1971" i="94"/>
  <c r="P2098" i="94"/>
  <c r="P2101" i="94" s="1"/>
  <c r="P1661" i="94"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<sst xmlns="http://schemas.openxmlformats.org/spreadsheetml/2006/main" count="19439" uniqueCount="7177">
  <si>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</si>
  <si>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</si>
  <si>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</si>
  <si>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</si>
  <si>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</si>
  <si>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</si>
  <si>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</si>
  <si>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</si>
  <si>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</si>
  <si>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</si>
  <si>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</si>
  <si>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</si>
  <si>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</si>
  <si>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</si>
  <si>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</si>
  <si>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</si>
  <si>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</si>
  <si>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</si>
  <si>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</si>
  <si>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</si>
  <si>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</si>
  <si>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</si>
  <si>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</si>
  <si>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</si>
  <si>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</si>
  <si>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</si>
  <si>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</si>
  <si>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</si>
  <si>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</si>
  <si>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</si>
  <si>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</si>
  <si>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</si>
  <si>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</si>
  <si>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</si>
  <si>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</si>
  <si>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</si>
  <si>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</si>
  <si>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</si>
  <si>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</si>
  <si>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</si>
  <si>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</si>
  <si>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</si>
  <si>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</si>
  <si>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</si>
  <si>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</si>
  <si>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</si>
  <si>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</si>
  <si>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</si>
  <si>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</si>
  <si>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</si>
  <si>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</si>
  <si>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</si>
  <si>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</si>
  <si>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</si>
  <si>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</si>
  <si>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</si>
  <si>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</si>
  <si>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</si>
  <si>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</si>
  <si>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</si>
  <si>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</si>
  <si>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</si>
  <si>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</si>
  <si>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</si>
  <si>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</si>
  <si>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</si>
  <si>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</si>
  <si>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</si>
  <si>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</si>
  <si>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</si>
  <si>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</si>
  <si>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</si>
  <si>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</si>
  <si>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</si>
  <si>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</si>
  <si>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</si>
  <si>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</si>
  <si>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</si>
  <si>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</si>
  <si>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</si>
  <si>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</si>
  <si>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</si>
  <si>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</si>
  <si>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</si>
  <si>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</si>
  <si>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</si>
  <si>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</si>
  <si>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</si>
  <si>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</si>
  <si>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</si>
  <si>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</si>
  <si>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</si>
  <si>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</si>
  <si>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</si>
  <si>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</si>
  <si>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</si>
  <si>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</si>
  <si>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</si>
  <si>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</si>
  <si>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</si>
  <si>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</si>
  <si>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</si>
  <si>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</si>
  <si>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</si>
  <si>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</si>
  <si>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</si>
  <si>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</si>
  <si>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</si>
  <si>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</si>
  <si>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</si>
  <si>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</si>
  <si>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</si>
  <si>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</si>
  <si>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</si>
  <si>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</si>
  <si>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</si>
  <si>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</si>
  <si>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</si>
  <si>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</si>
  <si>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</si>
  <si>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</si>
  <si>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</si>
  <si>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</si>
  <si>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</si>
  <si>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</si>
  <si>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</si>
  <si>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</si>
  <si>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</si>
  <si>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</si>
  <si>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</si>
  <si>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</si>
  <si>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</si>
  <si>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</si>
  <si>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</si>
  <si>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</si>
  <si>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</si>
  <si>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</si>
  <si>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</si>
  <si>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</si>
  <si>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</si>
  <si>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</si>
  <si>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</si>
  <si>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</si>
  <si>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</si>
  <si>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</si>
  <si>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</si>
  <si>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</si>
  <si>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</si>
  <si>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</si>
  <si>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</si>
  <si>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</si>
  <si>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</si>
  <si>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</si>
  <si>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</si>
  <si>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</si>
  <si>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</si>
  <si>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</si>
  <si>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</si>
  <si>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</si>
  <si>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</si>
  <si>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</si>
  <si>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</si>
  <si>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</si>
  <si>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</si>
  <si>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</si>
  <si>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</si>
  <si>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</si>
  <si>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</si>
  <si>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</si>
  <si>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</si>
  <si>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</si>
  <si>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</si>
  <si>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</si>
  <si>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</si>
  <si>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</si>
  <si>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</si>
  <si>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</si>
  <si>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</si>
  <si>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</si>
  <si>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</si>
  <si>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</si>
  <si>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</si>
  <si>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</si>
  <si>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</si>
  <si>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</si>
  <si>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</si>
  <si>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</si>
  <si>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</si>
  <si>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</si>
  <si>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</si>
  <si>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</si>
  <si>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</si>
  <si>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</si>
  <si>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</si>
  <si>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</si>
  <si>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</si>
  <si>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</si>
  <si>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</si>
  <si>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</si>
  <si>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</si>
  <si>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</si>
  <si>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</si>
  <si>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</si>
  <si>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</si>
  <si>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</si>
  <si>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</si>
  <si>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</si>
  <si>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</si>
  <si>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</si>
  <si>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</si>
  <si>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</si>
  <si>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</si>
  <si>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</si>
  <si>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</si>
  <si>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</si>
  <si>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</si>
  <si>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</si>
  <si>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</si>
  <si>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</si>
  <si>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</si>
  <si>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</si>
  <si>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</si>
  <si>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</si>
  <si>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</si>
  <si>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</si>
  <si>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</si>
  <si>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</si>
  <si>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</si>
  <si>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</si>
  <si>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</si>
  <si>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</si>
  <si>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</si>
  <si>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</si>
  <si>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</si>
  <si>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</si>
  <si>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</si>
  <si>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</si>
  <si>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</si>
  <si>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</si>
  <si>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</si>
  <si>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</si>
  <si>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</si>
  <si>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</si>
  <si>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</si>
  <si>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</si>
  <si>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</si>
  <si>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</si>
  <si>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</si>
  <si>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</si>
  <si>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</si>
  <si>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</si>
  <si>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</si>
  <si>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</si>
  <si>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</si>
  <si>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</si>
  <si>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</si>
  <si>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</si>
  <si>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</si>
  <si>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</si>
  <si>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</si>
  <si>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</si>
  <si>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</si>
  <si>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</si>
  <si>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</si>
  <si>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</si>
  <si>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</si>
  <si>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</si>
  <si>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</si>
  <si>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</si>
  <si>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</si>
  <si>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</si>
  <si>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</si>
  <si>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</si>
  <si>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</si>
  <si>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</si>
  <si>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</si>
  <si>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</si>
  <si>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</si>
  <si>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</si>
  <si>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</si>
  <si>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</si>
  <si>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</si>
  <si>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</si>
  <si>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</si>
  <si>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</si>
  <si>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</si>
  <si>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</si>
  <si>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</si>
  <si>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</si>
  <si>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</si>
  <si>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</si>
  <si>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</si>
  <si>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</si>
  <si>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</si>
  <si>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</si>
  <si>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</si>
  <si>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</si>
  <si>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</si>
  <si>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</si>
  <si>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</si>
  <si>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</si>
  <si>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</si>
  <si>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</si>
  <si>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</si>
  <si>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</si>
  <si>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</si>
  <si>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</si>
  <si>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</si>
  <si>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</si>
  <si>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</si>
  <si>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</si>
  <si>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</si>
  <si>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</si>
  <si>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</si>
  <si>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</si>
  <si>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</si>
  <si>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</si>
  <si>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</si>
  <si>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</si>
  <si>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</si>
  <si>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</si>
  <si>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</si>
  <si>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</si>
  <si>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</si>
  <si>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</si>
  <si>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</si>
  <si>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</si>
  <si>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</si>
  <si>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</si>
  <si>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</si>
  <si>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</si>
  <si>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</si>
  <si>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</si>
  <si>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</si>
  <si>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</si>
  <si>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</si>
  <si>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</si>
  <si>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</si>
  <si>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</si>
  <si>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</si>
  <si>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</si>
  <si>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</si>
  <si>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</si>
  <si>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</si>
  <si>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</si>
  <si>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</si>
  <si>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</si>
  <si>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</si>
  <si>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</si>
  <si>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</si>
  <si>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</si>
  <si>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</si>
  <si>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</si>
  <si>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</si>
  <si>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</si>
  <si>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</si>
  <si>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</si>
  <si>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</si>
  <si>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</si>
  <si>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</si>
  <si>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</si>
  <si>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</si>
  <si>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</si>
  <si>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</si>
  <si>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</si>
  <si>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</si>
  <si>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</si>
  <si>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</si>
  <si>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</si>
  <si>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</si>
  <si>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</si>
  <si>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</si>
  <si>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</si>
  <si>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</si>
  <si>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</si>
  <si>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</si>
  <si>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</si>
  <si>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</si>
  <si>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</si>
  <si>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</si>
  <si>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</si>
  <si>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</si>
  <si>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</si>
  <si>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</si>
  <si>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</si>
  <si>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</si>
  <si>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</si>
  <si>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</si>
  <si>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</si>
  <si>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</si>
  <si>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</si>
  <si>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</si>
  <si>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</si>
  <si>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</si>
  <si>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</si>
  <si>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</si>
  <si>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</si>
  <si>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</si>
  <si>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</si>
  <si>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</si>
  <si>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</si>
  <si>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</si>
  <si>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</si>
  <si>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</si>
  <si>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</si>
  <si>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</si>
  <si>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</si>
  <si>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</si>
  <si>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</si>
  <si>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</si>
  <si>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</si>
  <si>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</si>
  <si>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</si>
  <si>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</si>
  <si>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</si>
  <si>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</si>
  <si>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</si>
  <si>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</si>
  <si>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</si>
  <si>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</si>
  <si>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</si>
  <si>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</si>
  <si>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</si>
  <si>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</si>
  <si>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</si>
  <si>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</si>
  <si>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</si>
  <si>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</si>
  <si>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</si>
  <si>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</si>
  <si>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</si>
  <si>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</si>
  <si>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</si>
  <si>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</si>
  <si>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</si>
  <si>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</si>
  <si>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</si>
  <si>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</si>
  <si>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</si>
  <si>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</si>
  <si>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</si>
  <si>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</si>
  <si>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</si>
  <si>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</si>
  <si>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</si>
  <si>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</si>
  <si>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</si>
  <si>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</si>
  <si>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</si>
  <si>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</si>
  <si>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</si>
  <si>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</si>
  <si>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</si>
  <si>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</si>
  <si>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</si>
  <si>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</si>
  <si>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</si>
  <si>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</si>
  <si>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</si>
  <si>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</si>
  <si>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</si>
  <si>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</si>
  <si>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</si>
  <si>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</si>
  <si>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</si>
  <si>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</si>
  <si>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</si>
  <si>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</si>
  <si>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</si>
  <si>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</si>
  <si>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</si>
  <si>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</si>
  <si>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</si>
  <si>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</si>
  <si>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</si>
  <si>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</si>
  <si>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</si>
  <si>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</si>
  <si>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</si>
  <si>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</si>
  <si>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</si>
  <si>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</si>
  <si>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</si>
  <si>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</si>
  <si>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</si>
  <si>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</si>
  <si>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</si>
  <si>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</si>
  <si>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</si>
  <si>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</si>
  <si>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</si>
  <si>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</si>
  <si>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</si>
  <si>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</si>
  <si>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</si>
  <si>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</si>
  <si>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</si>
  <si>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</si>
  <si>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</si>
  <si>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</si>
  <si>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</si>
  <si>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</si>
  <si>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</si>
  <si>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</si>
  <si>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</si>
  <si>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</si>
  <si>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</si>
  <si>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</si>
  <si>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</si>
  <si>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</si>
  <si>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</si>
  <si>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</si>
  <si>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</si>
  <si>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</si>
  <si>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</si>
  <si>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</si>
  <si>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</si>
  <si>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</si>
  <si>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</si>
  <si>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</si>
  <si>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</si>
  <si>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</si>
  <si>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</si>
  <si>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</si>
  <si>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</si>
  <si>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</si>
  <si>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</si>
  <si>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</si>
  <si>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</si>
  <si>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</si>
  <si>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</si>
  <si>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</si>
  <si>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</si>
  <si>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</si>
  <si>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</si>
  <si>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</si>
  <si>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</si>
  <si>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</si>
  <si>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</si>
  <si>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</si>
  <si>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</si>
  <si>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</si>
  <si>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</si>
  <si>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</si>
  <si>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</si>
  <si>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</si>
  <si>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</si>
  <si>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</si>
  <si>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</si>
  <si>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</si>
  <si>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</si>
  <si>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</si>
  <si>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</si>
  <si>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</si>
  <si>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</si>
  <si>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</si>
  <si>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</si>
  <si>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</si>
  <si>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</si>
  <si>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</si>
  <si>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</si>
  <si>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</si>
  <si>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</si>
  <si>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</si>
  <si>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</si>
  <si>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</si>
  <si>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</si>
  <si>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</si>
  <si>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</si>
  <si>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</si>
  <si>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</si>
  <si>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</si>
  <si>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</si>
  <si>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</si>
  <si>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</si>
  <si>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</si>
  <si>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</si>
  <si>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</si>
  <si>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</si>
  <si>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</si>
  <si>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</si>
  <si>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</si>
  <si>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</si>
  <si>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</si>
  <si>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</si>
  <si>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</si>
  <si>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</si>
  <si>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</si>
  <si>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</si>
  <si>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</si>
  <si>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</si>
  <si>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</si>
  <si>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</si>
  <si>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</si>
  <si>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</si>
  <si>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</si>
  <si>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</si>
  <si>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</si>
  <si>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</si>
  <si>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</si>
  <si>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</si>
  <si>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</si>
  <si>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</si>
  <si>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</si>
  <si>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</si>
  <si>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</si>
  <si>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</si>
  <si>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</si>
  <si>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</si>
  <si>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</si>
  <si>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</si>
  <si>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</si>
  <si>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</si>
  <si>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</si>
  <si>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</si>
  <si>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</si>
  <si>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</si>
  <si>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</si>
  <si>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</si>
  <si>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</si>
  <si>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</si>
  <si>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</si>
  <si>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</si>
  <si>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</si>
  <si>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</si>
  <si>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</si>
  <si>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</si>
  <si>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</si>
  <si>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</si>
  <si>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</si>
  <si>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</si>
  <si>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</si>
  <si>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</si>
  <si>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</si>
  <si>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</si>
  <si>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</si>
  <si>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</si>
  <si>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</si>
  <si>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</si>
  <si>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</si>
  <si>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</si>
  <si>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</si>
  <si>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</si>
  <si>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</si>
  <si>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</si>
  <si>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</si>
  <si>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</si>
  <si>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</si>
  <si>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</si>
  <si>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</si>
  <si>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</si>
  <si>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</si>
  <si>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</si>
  <si>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</si>
  <si>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</si>
  <si>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</si>
  <si>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</si>
  <si>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</si>
  <si>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</si>
  <si>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</si>
  <si>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</si>
  <si>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</si>
  <si>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</si>
  <si>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</si>
  <si>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</si>
  <si>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</si>
  <si>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</si>
  <si>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</si>
  <si>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</si>
  <si>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</si>
  <si>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</si>
  <si>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</si>
  <si>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</si>
  <si>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</si>
  <si>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</si>
  <si>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</si>
  <si>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</si>
  <si>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</si>
  <si>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</si>
  <si>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</si>
  <si>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</si>
  <si>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</si>
  <si>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</si>
  <si>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</si>
  <si>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</si>
  <si>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</si>
  <si>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</si>
  <si>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</si>
  <si>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</si>
  <si>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</si>
  <si>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</si>
  <si>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</si>
  <si>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</si>
  <si>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</si>
  <si>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</si>
  <si>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</si>
  <si>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</si>
  <si>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</si>
  <si>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</si>
  <si>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</si>
  <si>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</si>
  <si>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</si>
  <si>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</si>
  <si>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</si>
  <si>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</si>
  <si>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</si>
  <si>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</si>
  <si>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</si>
  <si>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</si>
  <si>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</si>
  <si>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</si>
  <si>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</si>
  <si>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</si>
  <si>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</si>
  <si>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</si>
  <si>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</si>
  <si>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</si>
  <si>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</si>
  <si>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</si>
  <si>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</si>
  <si>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</si>
  <si>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</si>
  <si>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</si>
  <si>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</si>
  <si>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</si>
  <si>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</si>
  <si>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</si>
  <si>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</si>
  <si>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</si>
  <si>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</si>
  <si>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</si>
  <si>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</si>
  <si>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</si>
  <si>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</si>
  <si>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</si>
  <si>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</si>
  <si>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</si>
  <si>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</si>
  <si>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</si>
  <si>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</si>
  <si>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</si>
  <si>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</si>
  <si>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</si>
  <si>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</si>
  <si>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</si>
  <si>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</si>
  <si>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</si>
  <si>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</si>
  <si>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</si>
  <si>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</si>
  <si>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</si>
  <si>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</si>
  <si>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</si>
  <si>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</si>
  <si>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</si>
  <si>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</si>
  <si>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</si>
  <si>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</si>
  <si>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</si>
  <si>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</si>
  <si>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</si>
  <si>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</si>
  <si>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</si>
  <si>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</si>
  <si>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</si>
  <si>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</si>
  <si>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</si>
  <si>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</si>
  <si>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</si>
  <si>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</si>
  <si>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</si>
  <si>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</si>
  <si>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</si>
  <si>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</si>
  <si>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</si>
  <si>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</si>
  <si>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</si>
  <si>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</si>
  <si>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</si>
  <si>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</si>
  <si>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</si>
  <si>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</si>
  <si>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</si>
  <si>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</si>
  <si>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</si>
  <si>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</si>
  <si>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</si>
  <si>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</si>
  <si>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</si>
  <si>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</si>
  <si>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</si>
  <si>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</si>
  <si>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</si>
  <si>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</si>
  <si>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</si>
  <si>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</si>
  <si>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</si>
  <si>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</si>
  <si>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</si>
  <si>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</si>
  <si>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</si>
  <si>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</si>
  <si>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</si>
  <si>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</si>
  <si>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</si>
  <si>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</si>
  <si>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</si>
  <si>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</si>
  <si>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</si>
  <si>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</si>
  <si>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</si>
  <si>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</si>
  <si>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</si>
  <si>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</si>
  <si>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</si>
  <si>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</si>
  <si>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</si>
  <si>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</si>
  <si>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</si>
  <si>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</si>
  <si>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</si>
  <si>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</si>
  <si>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</si>
  <si>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</si>
  <si>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</si>
  <si>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</si>
  <si>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</si>
  <si>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</si>
  <si>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</si>
  <si>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</si>
  <si>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</si>
  <si>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</si>
  <si>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</si>
  <si>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</si>
  <si>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</si>
  <si>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</si>
  <si>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</si>
  <si>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</si>
  <si>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</si>
  <si>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</si>
  <si>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</si>
  <si>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</si>
  <si>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</si>
  <si>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</si>
  <si>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</si>
  <si>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</si>
  <si>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</si>
  <si>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</si>
  <si>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</si>
  <si>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</si>
  <si>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</si>
  <si>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</si>
  <si>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</si>
  <si>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</si>
  <si>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</si>
  <si>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</si>
  <si>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</si>
  <si>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</si>
  <si>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</si>
  <si>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</si>
  <si>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</si>
  <si>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</si>
  <si>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</si>
  <si>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</si>
  <si>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</si>
  <si>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</si>
  <si>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</si>
  <si>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</si>
  <si>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</si>
  <si>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</si>
  <si>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</si>
  <si>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</si>
  <si>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</si>
  <si>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</si>
  <si>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</si>
  <si>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</si>
  <si>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</si>
  <si>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</si>
  <si>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</si>
  <si>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</si>
  <si>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</si>
  <si>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</si>
  <si>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</si>
  <si>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</si>
  <si>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</si>
  <si>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</si>
  <si>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</si>
  <si>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</si>
  <si>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</si>
  <si>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</si>
  <si>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</si>
  <si>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</si>
  <si>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</si>
  <si>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</si>
  <si>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</si>
  <si>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</si>
  <si>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</si>
  <si>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</si>
  <si>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</si>
  <si>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</si>
  <si>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</si>
  <si>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</si>
  <si>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</si>
  <si>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</si>
  <si>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</si>
  <si>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</si>
  <si>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</si>
  <si>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</si>
  <si>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</si>
  <si>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</si>
  <si>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</si>
  <si>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</si>
  <si>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</si>
  <si>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</si>
  <si>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</si>
  <si>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</si>
  <si>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</si>
  <si>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</si>
  <si>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</si>
  <si>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</si>
  <si>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</si>
  <si>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</si>
  <si>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</si>
  <si>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</si>
  <si>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</si>
  <si>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</si>
  <si>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</si>
  <si>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</si>
  <si>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</si>
  <si>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</si>
  <si>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</si>
  <si>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</si>
  <si>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</si>
  <si>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</si>
  <si>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</si>
  <si>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</si>
  <si>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</si>
  <si>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</si>
  <si>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</si>
  <si>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</si>
  <si>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</si>
  <si>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</si>
  <si>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</si>
  <si>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</si>
  <si>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</si>
  <si>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</si>
  <si>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</si>
  <si>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</si>
  <si>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</si>
  <si>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</si>
  <si>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</si>
  <si>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</si>
  <si>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</si>
  <si>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</si>
  <si>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</si>
  <si>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</si>
  <si>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</si>
  <si>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</si>
  <si>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</si>
  <si>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</si>
  <si>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</si>
  <si>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</si>
  <si>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</si>
  <si>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</si>
  <si>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</si>
  <si>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</si>
  <si>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</si>
  <si>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</si>
  <si>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</si>
  <si>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</si>
  <si>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</si>
  <si>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</si>
  <si>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</si>
  <si>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</si>
  <si>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</si>
  <si>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</si>
  <si>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</si>
  <si>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</si>
  <si>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</si>
  <si>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</si>
  <si>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</si>
  <si>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</si>
  <si>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</si>
  <si>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</si>
  <si>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</si>
  <si>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</si>
  <si>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</si>
  <si>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</si>
  <si>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</si>
  <si>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</si>
  <si>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</si>
  <si>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</si>
  <si>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</si>
  <si>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</si>
  <si>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</si>
  <si>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</si>
  <si>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</si>
  <si>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</si>
  <si>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</si>
  <si>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</si>
  <si>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</si>
  <si>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</si>
  <si>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</si>
  <si>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</si>
  <si>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</si>
  <si>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</si>
  <si>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</si>
  <si>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</si>
  <si>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</si>
  <si>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</si>
  <si>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</si>
  <si>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</si>
  <si>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</si>
  <si>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</si>
  <si>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</si>
  <si>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</si>
  <si>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</si>
  <si>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</si>
  <si>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</si>
  <si>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</si>
  <si>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</si>
  <si>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</si>
  <si>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</si>
  <si>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</si>
  <si>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</si>
  <si>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</si>
  <si>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</si>
  <si>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</si>
  <si>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</si>
  <si>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</si>
  <si>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</si>
  <si>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</si>
  <si>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</si>
  <si>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</si>
  <si>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</si>
  <si>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</si>
  <si>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</si>
  <si>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</si>
  <si>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</si>
  <si>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</si>
  <si>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</si>
  <si>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</si>
  <si>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</si>
  <si>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</si>
  <si>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</si>
  <si>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</si>
  <si>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</si>
  <si>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</si>
  <si>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</si>
  <si>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</si>
  <si>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</si>
  <si>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</si>
  <si>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</si>
  <si>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</si>
  <si>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</si>
  <si>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</si>
  <si>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</si>
  <si>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</si>
  <si>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</si>
  <si>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</si>
  <si>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</si>
  <si>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</si>
  <si>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</si>
  <si>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</si>
  <si>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</si>
  <si>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</si>
  <si>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</si>
  <si>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</si>
  <si>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</si>
  <si>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</si>
  <si>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</si>
  <si>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</si>
  <si>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</si>
  <si>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</si>
  <si>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</si>
  <si>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</si>
  <si>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</si>
  <si>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</si>
  <si>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</si>
  <si>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</si>
  <si>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</si>
  <si>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</si>
  <si>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</si>
  <si>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</si>
  <si>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</si>
  <si>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</si>
  <si>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</si>
  <si>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</si>
  <si>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</si>
  <si>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</si>
  <si>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</si>
  <si>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</si>
  <si>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</si>
  <si>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</si>
  <si>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</si>
  <si>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</si>
  <si>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</si>
  <si>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</si>
  <si>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</si>
  <si>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</si>
  <si>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</si>
  <si>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</si>
  <si>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</si>
  <si>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</si>
  <si>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</si>
  <si>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</si>
  <si>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</si>
  <si>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</si>
  <si>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</si>
  <si>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</si>
  <si>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</si>
  <si>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</si>
  <si>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</si>
  <si>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</si>
  <si>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</si>
  <si>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</si>
  <si>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</si>
  <si>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</si>
  <si>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</si>
  <si>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</si>
  <si>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</si>
  <si>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</si>
  <si>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</si>
  <si>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</si>
  <si>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</si>
  <si>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</si>
  <si>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</si>
  <si>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</si>
  <si>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</si>
  <si>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</si>
  <si>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</si>
  <si>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</si>
  <si>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</si>
  <si>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</si>
  <si>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</si>
  <si>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</si>
  <si>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</si>
  <si>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</si>
  <si>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</si>
  <si>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</si>
  <si>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</si>
  <si>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</si>
  <si>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</si>
  <si>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</si>
  <si>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</si>
  <si>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</si>
  <si>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</si>
  <si>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</si>
  <si>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</si>
  <si>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</si>
  <si>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</si>
  <si>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</si>
  <si>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</si>
  <si>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</si>
  <si>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</si>
  <si>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</si>
  <si>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</si>
  <si>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</si>
  <si>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</si>
  <si>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</si>
  <si>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</si>
  <si>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</si>
  <si>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</si>
  <si>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</si>
  <si>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</si>
  <si>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</si>
  <si>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</si>
  <si>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</si>
  <si>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</si>
  <si>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</si>
  <si>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</si>
  <si>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</si>
  <si>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</si>
  <si>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</si>
  <si>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</si>
  <si>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</si>
  <si>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</si>
  <si>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</si>
  <si>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</si>
  <si>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</si>
  <si>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</si>
  <si>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</si>
  <si>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</si>
  <si>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</si>
  <si>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</si>
  <si>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</si>
  <si>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</si>
  <si>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</si>
  <si>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</si>
  <si>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</si>
  <si>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</si>
  <si>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</si>
  <si>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</si>
  <si>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</si>
  <si>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</si>
  <si>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</si>
  <si>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</si>
  <si>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</si>
  <si>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</si>
  <si>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</si>
  <si>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</si>
  <si>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</si>
  <si>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</si>
  <si>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</si>
  <si>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</si>
  <si>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</si>
  <si>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</si>
  <si>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</si>
  <si>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</si>
  <si>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</si>
  <si>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</si>
  <si>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</si>
  <si>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</si>
  <si>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</si>
  <si>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</si>
  <si>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</si>
  <si>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</si>
  <si>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</si>
  <si>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</si>
  <si>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</si>
  <si>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</si>
  <si>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</si>
  <si>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</si>
  <si>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</si>
  <si>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</si>
  <si>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</si>
  <si>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</si>
  <si>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</si>
  <si>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</si>
  <si>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</si>
  <si>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</si>
  <si>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</si>
  <si>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</si>
  <si>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</si>
  <si>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</si>
  <si>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</si>
  <si>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</si>
  <si>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</si>
  <si>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</si>
  <si>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</si>
  <si>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</si>
  <si>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</si>
  <si>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</si>
  <si>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</si>
  <si>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</si>
  <si>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</si>
  <si>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</si>
  <si>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</si>
  <si>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</si>
  <si>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</si>
  <si>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</si>
  <si>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</si>
  <si>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</si>
  <si>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</si>
  <si>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</si>
  <si>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</si>
  <si>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</si>
  <si>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</si>
  <si>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</si>
  <si>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</si>
  <si>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</si>
  <si>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</si>
  <si>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</si>
  <si>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</si>
  <si>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</si>
  <si>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</si>
  <si>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</si>
  <si>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</si>
  <si>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</si>
  <si>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</si>
  <si>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</si>
  <si>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</si>
  <si>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</si>
  <si>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</si>
  <si>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</si>
  <si>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</si>
  <si>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</si>
  <si>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</si>
  <si>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</si>
  <si>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</si>
  <si>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</si>
  <si>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</si>
  <si>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</si>
  <si>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</si>
  <si>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</si>
  <si>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</si>
  <si>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</si>
  <si>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</si>
  <si>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</si>
  <si>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</si>
  <si>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</si>
  <si>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</si>
  <si>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</si>
  <si>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</si>
  <si>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</si>
  <si>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</si>
  <si>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</si>
  <si>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</si>
  <si>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</si>
  <si>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</si>
  <si>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</si>
  <si>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</si>
  <si>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</si>
  <si>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</si>
  <si>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</si>
  <si>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</si>
  <si>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</si>
  <si>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</si>
  <si>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</si>
  <si>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</si>
  <si>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</si>
  <si>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</si>
  <si>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</si>
  <si>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</si>
  <si>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</si>
  <si>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</si>
  <si>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</si>
  <si>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</si>
  <si>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</si>
  <si>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</si>
  <si>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</si>
  <si>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</si>
  <si>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</si>
  <si>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</si>
  <si>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</si>
  <si>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</si>
  <si>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</si>
  <si>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</si>
  <si>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</si>
  <si>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</si>
  <si>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</si>
  <si>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</si>
  <si>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</si>
  <si>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</si>
  <si>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</si>
  <si>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</si>
  <si>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</si>
  <si>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</si>
  <si>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</si>
  <si>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</si>
  <si>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</si>
  <si>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</si>
  <si>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</si>
  <si>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</si>
  <si>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</si>
  <si>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</si>
  <si>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</si>
  <si>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</si>
  <si>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</si>
  <si>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</si>
  <si>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</si>
  <si>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</si>
  <si>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</si>
  <si>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</si>
  <si>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</si>
  <si>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</si>
  <si>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</si>
  <si>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</si>
  <si>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</si>
  <si>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</si>
  <si>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</si>
  <si>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</si>
  <si>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</si>
  <si>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</si>
  <si>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</si>
  <si>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</si>
  <si>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</si>
  <si>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</si>
  <si>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</si>
  <si>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</si>
  <si>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</si>
  <si>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</si>
  <si>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</si>
  <si>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</si>
  <si>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</si>
  <si>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</si>
  <si>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</si>
  <si>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</si>
  <si>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</si>
  <si>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</si>
  <si>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</si>
  <si>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</si>
  <si>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</si>
  <si>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</si>
  <si>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</si>
  <si>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</si>
  <si>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</si>
  <si>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</si>
  <si>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</si>
  <si>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</si>
  <si>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</si>
  <si>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</si>
  <si>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</si>
  <si>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</si>
  <si>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</si>
  <si>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</si>
  <si>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</si>
  <si>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</si>
  <si>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</si>
  <si>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</si>
  <si>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</si>
  <si>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</si>
  <si>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</si>
  <si>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</si>
  <si>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</si>
  <si>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</si>
  <si>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</si>
  <si>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</si>
  <si>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</si>
  <si>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</si>
  <si>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</si>
  <si>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</si>
  <si>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</si>
  <si>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</si>
  <si>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</si>
  <si>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</si>
  <si>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</si>
  <si>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</si>
  <si>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</si>
  <si>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</si>
  <si>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</si>
  <si>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</si>
  <si>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</si>
  <si>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</si>
  <si>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</si>
  <si>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</si>
  <si>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</si>
  <si>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</si>
  <si>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</si>
  <si>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</si>
  <si>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</si>
  <si>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</si>
  <si>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</si>
  <si>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</si>
  <si>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</si>
  <si>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</si>
  <si>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</si>
  <si>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</si>
  <si>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</si>
  <si>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</si>
  <si>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</si>
  <si>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</si>
  <si>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</si>
  <si>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</si>
  <si>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</si>
  <si>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</si>
  <si>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</si>
  <si>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</si>
  <si>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</si>
  <si>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</si>
  <si>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</si>
  <si>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</si>
  <si>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</si>
  <si>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</si>
  <si>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</si>
  <si>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</si>
  <si>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</si>
  <si>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</si>
  <si>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</si>
  <si>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</si>
  <si>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</si>
  <si>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</si>
  <si>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</si>
  <si>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</si>
  <si>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</si>
  <si>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</si>
  <si>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</si>
  <si>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</si>
  <si>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</si>
  <si>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</si>
  <si>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</si>
  <si>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</si>
  <si>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</si>
  <si>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</si>
  <si>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</si>
  <si>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</si>
  <si>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</si>
  <si>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</si>
  <si>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</si>
  <si>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</si>
  <si>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</si>
  <si>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</si>
  <si>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</si>
  <si>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</si>
  <si>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</si>
  <si>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</si>
  <si>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</si>
  <si>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</si>
  <si>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</si>
  <si>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</si>
  <si>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</si>
  <si>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</si>
  <si>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</si>
  <si>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</si>
  <si>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</si>
  <si>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</si>
  <si>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</si>
  <si>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</si>
  <si>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</si>
  <si>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</si>
  <si>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</si>
  <si>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</si>
  <si>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</si>
  <si>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</si>
  <si>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</si>
  <si>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</si>
  <si>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</si>
  <si>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</si>
  <si>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</si>
  <si>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</si>
  <si>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</si>
  <si>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</si>
  <si>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</si>
  <si>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</si>
  <si>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</si>
  <si>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</si>
  <si>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</si>
  <si>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</si>
  <si>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</si>
  <si>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</si>
  <si>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</si>
  <si>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</si>
  <si>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</si>
  <si>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</si>
  <si>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</si>
  <si>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</si>
  <si>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</si>
  <si>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</si>
  <si>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</si>
  <si>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</si>
  <si>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</si>
  <si>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</si>
  <si>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</si>
  <si>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</si>
  <si>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</si>
  <si>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</si>
  <si>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</si>
  <si>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</si>
  <si>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</si>
  <si>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</si>
  <si>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</si>
  <si>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</si>
  <si>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</si>
  <si>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</si>
  <si>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</si>
  <si>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</si>
  <si>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</si>
  <si>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</si>
  <si>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</si>
  <si>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</si>
  <si>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</si>
  <si>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</si>
  <si>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</si>
  <si>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</si>
  <si>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</si>
  <si>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</si>
  <si>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</si>
  <si>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</si>
  <si>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</si>
  <si>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</si>
  <si>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</si>
  <si>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</si>
  <si>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</si>
  <si>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</si>
  <si>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</si>
  <si>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</si>
  <si>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</si>
  <si>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</si>
  <si>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</si>
  <si>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</si>
  <si>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</si>
  <si>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</si>
  <si>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</si>
  <si>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</si>
  <si>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</si>
  <si>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</si>
  <si>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</si>
  <si>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</si>
  <si>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</si>
  <si>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</si>
  <si>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</si>
  <si>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</si>
  <si>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</si>
  <si>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</si>
  <si>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</si>
  <si>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</si>
  <si>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</si>
  <si>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</si>
  <si>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</si>
  <si>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</si>
  <si>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</si>
  <si>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</si>
  <si>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</si>
  <si>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</si>
  <si>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</si>
  <si>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</si>
  <si>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</si>
  <si>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</si>
  <si>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</si>
  <si>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</si>
  <si>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</si>
  <si>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</si>
  <si>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</si>
  <si>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</si>
  <si>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</si>
  <si>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</si>
  <si>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</si>
  <si>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</si>
  <si>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</si>
  <si>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</si>
  <si>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</si>
  <si>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</si>
  <si>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</si>
  <si>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</si>
  <si>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</si>
  <si>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</si>
  <si>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</si>
  <si>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</si>
  <si>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</si>
  <si>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</si>
  <si>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</si>
  <si>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</si>
  <si>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</si>
  <si>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</si>
  <si>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</si>
  <si>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</si>
  <si>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</si>
  <si>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</si>
  <si>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</si>
  <si>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</si>
  <si>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</si>
  <si>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</si>
  <si>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</si>
  <si>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</si>
  <si>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</si>
  <si>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</si>
  <si>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</si>
  <si>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</si>
  <si>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</si>
  <si>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</si>
  <si>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</si>
  <si>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</si>
  <si>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</si>
  <si>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</si>
  <si>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</si>
  <si>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</si>
  <si>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</si>
  <si>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</si>
  <si>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</si>
  <si>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</si>
  <si>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</si>
  <si>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</si>
  <si>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</si>
  <si>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</si>
  <si>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</si>
  <si>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</si>
  <si>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</si>
  <si>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</si>
  <si>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</si>
  <si>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</si>
  <si>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</si>
  <si>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</si>
  <si>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</si>
  <si>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</si>
  <si>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</si>
  <si>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</si>
  <si>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</si>
  <si>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</si>
  <si>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</si>
  <si>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</si>
  <si>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</si>
  <si>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</si>
  <si>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</si>
  <si>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</si>
  <si>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</si>
  <si>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</si>
  <si>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</si>
  <si>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</si>
  <si>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</si>
  <si>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</si>
  <si>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</si>
  <si>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</si>
  <si>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</si>
  <si>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</si>
  <si>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</si>
  <si>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</si>
  <si>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</si>
  <si>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</si>
  <si>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</si>
  <si>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</si>
  <si>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</si>
  <si>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</si>
  <si>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</si>
  <si>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</si>
  <si>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</si>
  <si>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</si>
  <si>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</si>
  <si>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</si>
  <si>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</si>
  <si>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</si>
  <si>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</si>
  <si>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</si>
  <si>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</si>
  <si>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</si>
  <si>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</si>
  <si>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</si>
  <si>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</si>
  <si>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</si>
  <si>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</si>
  <si>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</si>
  <si>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</si>
  <si>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</si>
  <si>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</si>
  <si>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</si>
  <si>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</si>
  <si>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</si>
  <si>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</si>
  <si>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</si>
  <si>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</si>
  <si>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</si>
  <si>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</si>
  <si>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</si>
  <si>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</si>
  <si>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</si>
  <si>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</si>
  <si>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</si>
  <si>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</si>
  <si>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</si>
  <si>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</si>
  <si>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</si>
  <si>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</si>
  <si>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</si>
  <si>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</si>
  <si>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</si>
  <si>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</si>
  <si>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</si>
  <si>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</si>
  <si>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</si>
  <si>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</si>
  <si>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</si>
  <si>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</si>
  <si>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</si>
  <si>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</si>
  <si>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</si>
  <si>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</si>
  <si>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</si>
  <si>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</si>
  <si>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</si>
  <si>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</si>
  <si>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</si>
  <si>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</si>
  <si>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</si>
  <si>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</si>
  <si>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</si>
  <si>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</si>
  <si>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</si>
  <si>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</si>
  <si>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</si>
  <si>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</si>
  <si>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</si>
  <si>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</si>
  <si>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</si>
  <si>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</si>
  <si>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</si>
  <si>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</si>
  <si>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</si>
  <si>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</si>
  <si>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</si>
  <si>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</si>
  <si>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</si>
  <si>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</si>
  <si>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</si>
  <si>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</si>
  <si>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</si>
  <si>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</si>
  <si>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</si>
  <si>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</si>
  <si>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</si>
  <si>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</si>
  <si>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</si>
  <si>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</si>
  <si>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</si>
  <si>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</si>
  <si>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</si>
  <si>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</si>
  <si>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</si>
  <si>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</si>
  <si>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</si>
  <si>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</si>
  <si>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</si>
  <si>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</si>
  <si>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</si>
  <si>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</si>
  <si>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</si>
  <si>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</si>
  <si>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</si>
  <si>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</si>
  <si>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</si>
  <si>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</si>
  <si>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</si>
  <si>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</si>
  <si>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</si>
  <si>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</si>
  <si>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</si>
  <si>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</si>
  <si>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</si>
  <si>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</si>
  <si>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</si>
  <si>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</si>
  <si>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</si>
  <si>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</si>
  <si>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</si>
  <si>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</si>
  <si>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</si>
  <si>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</si>
  <si>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</si>
  <si>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</si>
  <si>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</si>
  <si>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</si>
  <si>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</si>
  <si>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</si>
  <si>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</si>
  <si>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</si>
  <si>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</si>
  <si>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</si>
  <si>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</si>
  <si>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</si>
  <si>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</si>
  <si>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</si>
  <si>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</si>
  <si>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</si>
  <si>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</si>
  <si>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</si>
  <si>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</si>
  <si>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</si>
  <si>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</si>
  <si>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</si>
  <si>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</si>
  <si>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</si>
  <si>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</si>
  <si>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</si>
  <si>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</si>
  <si>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</si>
  <si>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</si>
  <si>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</si>
  <si>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</si>
  <si>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</si>
  <si>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</si>
  <si>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</si>
  <si>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</si>
  <si>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</si>
  <si>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</si>
  <si>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</si>
  <si>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</si>
  <si>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</si>
  <si>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</si>
  <si>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</si>
  <si>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</si>
  <si>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</si>
  <si>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</si>
  <si>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</si>
  <si>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</si>
  <si>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</si>
  <si>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</si>
  <si>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</si>
  <si>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</si>
  <si>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</si>
  <si>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</si>
  <si>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</si>
  <si>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</si>
  <si>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</si>
  <si>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</si>
  <si>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</si>
  <si>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</si>
  <si>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</si>
  <si>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</si>
  <si>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</si>
  <si>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</si>
  <si>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</si>
  <si>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</si>
  <si>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</si>
  <si>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</si>
  <si>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</si>
  <si>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</si>
  <si>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</si>
  <si>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</si>
  <si>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</si>
  <si>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</si>
  <si>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</si>
  <si>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</si>
  <si>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</si>
  <si>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</si>
  <si>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</si>
  <si>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</si>
  <si>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</si>
  <si>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</si>
  <si>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</si>
  <si>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</si>
  <si>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</si>
  <si>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</si>
  <si>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</si>
  <si>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</si>
  <si>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</si>
  <si>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</si>
  <si>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</si>
  <si>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</si>
  <si>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</si>
  <si>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</si>
  <si>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</si>
  <si>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</si>
  <si>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</si>
  <si>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</si>
  <si>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</si>
  <si>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</si>
  <si>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</si>
  <si>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</si>
  <si>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</si>
  <si>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</si>
  <si>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</si>
  <si>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</si>
  <si>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</si>
  <si>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</si>
  <si>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</si>
  <si>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</si>
  <si>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</si>
  <si>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</si>
  <si>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</si>
  <si>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</si>
  <si>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</si>
  <si>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</si>
  <si>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</si>
  <si>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</si>
  <si>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</si>
  <si>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</si>
  <si>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</si>
  <si>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</si>
  <si>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</si>
  <si>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</si>
  <si>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</si>
  <si>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</si>
  <si>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</si>
  <si>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</si>
  <si>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</si>
  <si>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</si>
  <si>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</si>
  <si>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</si>
  <si>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</si>
  <si>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</si>
  <si>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</si>
  <si>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</si>
  <si>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</si>
  <si>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</si>
  <si>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</si>
  <si>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</si>
  <si>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</si>
  <si>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</si>
  <si>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</si>
  <si>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</si>
  <si>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</si>
  <si>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</si>
  <si>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</si>
  <si>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</si>
  <si>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</si>
  <si>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</si>
  <si>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</si>
  <si>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</si>
  <si>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</si>
  <si>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</si>
  <si>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</si>
  <si>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</si>
  <si>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</si>
  <si>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</si>
  <si>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</si>
  <si>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</si>
  <si>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</si>
  <si>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</si>
  <si>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</si>
  <si>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</si>
  <si>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</si>
  <si>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</si>
  <si>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</si>
  <si>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</si>
  <si>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</si>
  <si>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</si>
  <si>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</si>
  <si>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</si>
  <si>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</si>
  <si>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</si>
  <si>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</si>
  <si>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</si>
  <si>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</si>
  <si>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</si>
  <si>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</si>
  <si>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</si>
  <si>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</si>
  <si>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</si>
  <si>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</si>
  <si>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</si>
  <si>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</si>
  <si>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</si>
  <si>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</si>
  <si>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</si>
  <si>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</si>
  <si>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</si>
  <si>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</si>
  <si>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</si>
  <si>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</si>
  <si>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</si>
  <si>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</si>
  <si>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</si>
  <si>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</si>
  <si>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</si>
  <si>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</si>
  <si>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</si>
  <si>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</si>
  <si>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</si>
  <si>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</si>
  <si>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</si>
  <si>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</si>
  <si>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</si>
  <si>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</si>
  <si>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</si>
  <si>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</si>
  <si>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</si>
  <si>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</si>
  <si>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</si>
  <si>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</si>
  <si>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</si>
  <si>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</si>
  <si>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</si>
  <si>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</si>
  <si>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</si>
  <si>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</si>
  <si>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</si>
  <si>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</si>
  <si>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</si>
  <si>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</si>
  <si>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</si>
  <si>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</si>
  <si>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</si>
  <si>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</si>
  <si>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</si>
  <si>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</si>
  <si>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</si>
  <si>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</si>
  <si>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</si>
  <si>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</si>
  <si>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</si>
  <si>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</si>
  <si>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</si>
  <si>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</si>
  <si>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</si>
  <si>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</si>
  <si>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</si>
  <si>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</si>
  <si>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</si>
  <si>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</si>
  <si>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</si>
  <si>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</si>
  <si>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</si>
  <si>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</si>
  <si>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</si>
  <si>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</si>
  <si>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</si>
  <si>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</si>
  <si>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</si>
  <si>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</si>
  <si>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</si>
  <si>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</si>
  <si>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</si>
  <si>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</si>
  <si>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</si>
  <si>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</si>
  <si>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</si>
  <si>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</si>
  <si>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</si>
  <si>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</si>
  <si>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</si>
  <si>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</si>
  <si>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</si>
  <si>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</si>
  <si>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</si>
  <si>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</si>
  <si>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</si>
  <si>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</si>
  <si>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</si>
  <si>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</si>
  <si>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</si>
  <si>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</si>
  <si>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</si>
  <si>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</si>
  <si>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</si>
  <si>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</si>
  <si>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</si>
  <si>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</si>
  <si>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</si>
  <si>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</si>
  <si>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</si>
  <si>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</si>
  <si>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</si>
  <si>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</si>
  <si>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</si>
  <si>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</si>
  <si>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</si>
  <si>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</si>
  <si>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</si>
  <si>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</si>
  <si>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</si>
  <si>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</si>
  <si>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</si>
  <si>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</si>
  <si>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</si>
  <si>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</si>
  <si>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</si>
  <si>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</si>
  <si>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</si>
  <si>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</si>
  <si>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</si>
  <si>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</si>
  <si>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</si>
  <si>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</si>
  <si>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</si>
  <si>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</si>
  <si>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</si>
  <si>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</si>
  <si>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</si>
  <si>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</si>
  <si>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</si>
  <si>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</si>
  <si>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</si>
  <si>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</si>
  <si>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</si>
  <si>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</si>
  <si>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</si>
  <si>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</si>
  <si>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</si>
  <si>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</si>
  <si>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</si>
  <si>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</si>
  <si>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</si>
  <si>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</si>
  <si>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</si>
  <si>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</si>
  <si>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</si>
  <si>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</si>
  <si>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</si>
  <si>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</si>
  <si>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</si>
  <si>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</si>
  <si>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</si>
  <si>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</si>
  <si>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</si>
  <si>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</si>
  <si>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</si>
  <si>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</si>
  <si>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</si>
  <si>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</si>
  <si>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</si>
  <si>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</si>
  <si>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</si>
  <si>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</si>
  <si>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</si>
  <si>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</si>
  <si>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</si>
  <si>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</si>
  <si>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</si>
  <si>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</si>
  <si>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</si>
  <si>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</si>
  <si>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</si>
  <si>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</si>
  <si>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</si>
  <si>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</si>
  <si>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</si>
  <si>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</si>
  <si>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</si>
  <si>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</si>
  <si>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</si>
  <si>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</si>
  <si>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</si>
  <si>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</si>
  <si>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</si>
  <si>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</si>
  <si>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</si>
  <si>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</si>
  <si>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</si>
  <si>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</si>
  <si>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</si>
  <si>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</si>
  <si>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</si>
  <si>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</si>
  <si>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</si>
  <si>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</si>
  <si>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</si>
  <si>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</si>
  <si>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</si>
  <si>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</si>
  <si>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</si>
  <si>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</si>
  <si>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</si>
  <si>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</si>
  <si>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</si>
  <si>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</si>
  <si>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</si>
  <si>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</si>
  <si>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</si>
  <si>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</si>
  <si>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</si>
  <si>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</si>
  <si>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</si>
  <si>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</si>
  <si>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</si>
  <si>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</si>
  <si>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</si>
  <si>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</si>
  <si>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</si>
  <si>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</si>
  <si>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</si>
  <si>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</si>
  <si>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</si>
  <si>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</si>
  <si>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</si>
  <si>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</si>
  <si>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</si>
  <si>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</si>
  <si>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</si>
  <si>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</si>
  <si>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</si>
  <si>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</si>
  <si>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</si>
  <si>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</si>
  <si>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</si>
  <si>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</si>
  <si>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</si>
  <si>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</si>
  <si>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</si>
  <si>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</si>
  <si>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</si>
  <si>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</si>
  <si>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</si>
  <si>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</si>
  <si>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</si>
  <si>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</si>
  <si>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</si>
  <si>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</si>
  <si>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</si>
  <si>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</si>
  <si>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</si>
  <si>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</si>
  <si>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</si>
  <si>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</si>
  <si>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</si>
  <si>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</si>
  <si>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</si>
  <si>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</si>
  <si>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</si>
  <si>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</si>
  <si>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</si>
  <si>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</si>
  <si>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</si>
  <si>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</si>
  <si>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</si>
  <si>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</si>
  <si>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</si>
  <si>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</si>
  <si>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</si>
  <si>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</si>
  <si>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</si>
  <si>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</si>
  <si>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</si>
  <si>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</si>
  <si>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</si>
  <si>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</si>
  <si>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</si>
  <si>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</si>
  <si>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</si>
  <si>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</si>
  <si>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</si>
  <si>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</si>
  <si>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</si>
  <si>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</si>
  <si>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</si>
  <si>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</si>
  <si>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</si>
  <si>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</si>
  <si>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</si>
  <si>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</si>
  <si>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</si>
  <si>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</si>
  <si>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</si>
  <si>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</si>
  <si>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</si>
  <si>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</si>
  <si>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</si>
  <si>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</si>
  <si>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</si>
  <si>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</si>
  <si>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</si>
  <si>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</si>
  <si>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</si>
  <si>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</si>
  <si>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</si>
  <si>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</si>
  <si>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</si>
  <si>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</si>
  <si>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</si>
  <si>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</si>
  <si>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</si>
  <si>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</si>
  <si>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</si>
  <si>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</si>
  <si>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</si>
  <si>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</si>
  <si>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</si>
  <si>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</si>
  <si>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</si>
  <si>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</si>
  <si>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</si>
  <si>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</si>
  <si>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</si>
  <si>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</si>
  <si>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</si>
  <si>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</si>
  <si>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</si>
  <si>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</si>
  <si>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</si>
  <si>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</si>
  <si>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</si>
  <si>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</si>
  <si>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</si>
  <si>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</si>
  <si>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</si>
  <si>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</si>
  <si>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</si>
  <si>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</si>
  <si>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</si>
  <si>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</si>
  <si>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</si>
  <si>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</si>
  <si>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</si>
  <si>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</si>
  <si>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</si>
  <si>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</si>
  <si>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</si>
  <si>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</si>
  <si>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</si>
  <si>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</si>
  <si>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</si>
  <si>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</si>
  <si>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</si>
  <si>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</si>
  <si>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</si>
  <si>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</si>
  <si>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</si>
  <si>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</si>
  <si>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</si>
  <si>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</si>
  <si>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</si>
  <si>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</si>
  <si>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</si>
  <si>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</si>
  <si>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</si>
  <si>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</si>
  <si>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</si>
  <si>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</si>
  <si>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</si>
  <si>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</si>
  <si>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</si>
  <si>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</si>
  <si>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</si>
  <si>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</si>
  <si>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</si>
  <si>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</si>
  <si>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</si>
  <si>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</si>
  <si>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</si>
  <si>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</si>
  <si>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</si>
  <si>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</si>
  <si>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</si>
  <si>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</si>
  <si>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</si>
  <si>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</si>
  <si>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</si>
  <si>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</si>
  <si>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</si>
  <si>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</si>
  <si>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</si>
  <si>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</si>
  <si>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</si>
  <si>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</si>
  <si>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</si>
  <si>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</si>
  <si>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</si>
  <si>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</si>
  <si>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</si>
  <si>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</si>
  <si>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</si>
  <si>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</si>
  <si>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</si>
  <si>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</si>
  <si>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</si>
  <si>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</si>
  <si>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</si>
  <si>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</si>
  <si>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</si>
  <si>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</si>
  <si>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</si>
  <si>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</si>
  <si>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</si>
  <si>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</si>
  <si>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</si>
  <si>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</si>
  <si>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</si>
  <si>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</si>
  <si>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</si>
  <si>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</si>
  <si>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</si>
  <si>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</si>
  <si>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</si>
  <si>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</si>
  <si>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</si>
  <si>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</si>
  <si>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</si>
  <si>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</si>
  <si>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</si>
  <si>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</si>
  <si>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</si>
  <si>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</si>
  <si>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</si>
  <si>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</si>
  <si>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</si>
  <si>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</si>
  <si>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</si>
  <si>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</si>
  <si>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</si>
  <si>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</si>
  <si>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</si>
  <si>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</si>
  <si>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</si>
  <si>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</si>
  <si>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</si>
  <si>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</si>
  <si>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</si>
  <si>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</si>
  <si>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</si>
  <si>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</si>
  <si>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</si>
  <si>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</si>
  <si>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</si>
  <si>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</si>
  <si>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</si>
  <si>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</si>
  <si>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</si>
  <si>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</si>
  <si>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</si>
  <si>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</si>
  <si>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</si>
  <si>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</si>
  <si>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</si>
  <si>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</si>
  <si>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</si>
  <si>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</si>
  <si>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</si>
  <si>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</si>
  <si>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</si>
  <si>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</si>
  <si>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</si>
  <si>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</si>
  <si>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</si>
  <si>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</si>
  <si>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</si>
  <si>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</si>
  <si>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</si>
  <si>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</si>
  <si>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</si>
  <si>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</si>
  <si>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</si>
  <si>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</si>
  <si>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</si>
  <si>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</si>
  <si>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</si>
  <si>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</si>
  <si>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</si>
  <si>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</si>
  <si>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</si>
  <si>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</si>
  <si>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</si>
  <si>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</si>
  <si>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</si>
  <si>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</si>
  <si>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</si>
  <si>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</si>
  <si>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</si>
  <si>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</si>
  <si>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</si>
  <si>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</si>
  <si>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</si>
  <si>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</si>
  <si>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</si>
  <si>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</si>
  <si>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</si>
  <si>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</si>
  <si>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</si>
  <si>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</si>
  <si>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</si>
  <si>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</si>
  <si>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</si>
  <si>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</si>
  <si>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</si>
  <si>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</si>
  <si>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</si>
  <si>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</si>
  <si>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</si>
  <si>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</si>
  <si>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</si>
  <si>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</si>
  <si>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</si>
  <si>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</si>
  <si>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</si>
  <si>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</si>
  <si>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</si>
  <si>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</si>
  <si>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</si>
  <si>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</si>
  <si>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</si>
  <si>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</si>
  <si>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</si>
  <si>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</si>
  <si>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</si>
  <si>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</si>
  <si>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</si>
  <si>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</si>
  <si>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</si>
  <si>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</si>
  <si>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</si>
  <si>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</si>
  <si>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</si>
  <si>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</si>
  <si>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</si>
  <si>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</si>
  <si>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</si>
  <si>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</si>
  <si>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</si>
  <si>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</si>
  <si>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</si>
  <si>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</si>
  <si>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</si>
  <si>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</si>
  <si>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</si>
  <si>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</si>
  <si>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</si>
  <si>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</si>
  <si>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</si>
  <si>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</si>
  <si>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</si>
  <si>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</si>
  <si>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</si>
  <si>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</si>
  <si>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</si>
  <si>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</si>
  <si>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</si>
  <si>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</si>
  <si>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</si>
  <si>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</si>
  <si>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</si>
  <si>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</si>
  <si>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</si>
  <si>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</si>
  <si>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</si>
  <si>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</si>
  <si>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</si>
  <si>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</si>
  <si>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</si>
  <si>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</si>
  <si>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</si>
  <si>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</si>
  <si>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</si>
  <si>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</si>
  <si>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</si>
  <si>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</si>
  <si>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</si>
  <si>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</si>
  <si>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</si>
  <si>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</si>
  <si>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</si>
  <si>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</si>
  <si>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</si>
  <si>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</si>
  <si>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</si>
  <si>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</si>
  <si>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</si>
  <si>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</si>
  <si>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</si>
  <si>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</si>
  <si>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</si>
  <si>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</si>
  <si>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</si>
  <si>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</si>
  <si>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</si>
  <si>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</si>
  <si>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</si>
  <si>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</si>
  <si>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</si>
  <si>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</si>
  <si>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</si>
  <si>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</si>
  <si>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</si>
  <si>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</si>
  <si>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</si>
  <si>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</si>
  <si>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</si>
  <si>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</si>
  <si>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</si>
  <si>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</si>
  <si>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</si>
  <si>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</si>
  <si>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</si>
  <si>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</si>
  <si>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</si>
  <si>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</si>
  <si>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</si>
  <si>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</si>
  <si>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</si>
  <si>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</si>
  <si>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</si>
  <si>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</si>
  <si>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</si>
  <si>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</si>
  <si>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</si>
  <si>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</si>
  <si>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</si>
  <si>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</si>
  <si>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</si>
  <si>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</si>
  <si>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</si>
  <si>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</si>
  <si>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</si>
  <si>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</si>
  <si>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</si>
  <si>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</si>
  <si>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</si>
  <si>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</si>
  <si>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</si>
  <si>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</si>
  <si>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</si>
  <si>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</si>
  <si>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</si>
  <si>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</si>
  <si>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</si>
  <si>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</si>
  <si>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</si>
  <si>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</si>
  <si>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</si>
  <si>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</si>
  <si>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</si>
  <si>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</si>
  <si>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</si>
  <si>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</si>
  <si>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</si>
  <si>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</si>
  <si>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</si>
  <si>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</si>
  <si>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</si>
  <si>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</si>
  <si>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</si>
  <si>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</si>
  <si>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</si>
  <si>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</si>
  <si>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</si>
  <si>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</si>
  <si>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</si>
  <si>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</si>
  <si>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</si>
  <si>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</si>
  <si>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</si>
  <si>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</si>
  <si>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</si>
  <si>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</si>
  <si>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</si>
  <si>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</si>
  <si>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</si>
  <si>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</si>
  <si>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</si>
  <si>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</si>
  <si>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</si>
  <si>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</si>
  <si>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</si>
  <si>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</si>
  <si>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</si>
  <si>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</si>
  <si>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</si>
  <si>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</si>
  <si>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</si>
  <si>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</si>
  <si>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</si>
  <si>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</si>
  <si>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</si>
  <si>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</si>
  <si>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</si>
  <si>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</si>
  <si>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</si>
  <si>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</si>
  <si>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</si>
  <si>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</si>
  <si>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</si>
  <si>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</si>
  <si>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</si>
  <si>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</si>
  <si>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</si>
  <si>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</si>
  <si>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</si>
  <si>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</si>
  <si>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</si>
  <si>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</si>
  <si>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</si>
  <si>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</si>
  <si>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</si>
  <si>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</si>
  <si>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</si>
  <si>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</si>
  <si>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</si>
  <si>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</si>
  <si>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</si>
  <si>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</si>
  <si>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</si>
  <si>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</si>
  <si>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</si>
  <si>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</si>
  <si>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</si>
  <si>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</si>
  <si>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</si>
  <si>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</si>
  <si>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</si>
  <si>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</si>
  <si>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</si>
  <si>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</si>
  <si>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</si>
  <si>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</si>
  <si>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</si>
  <si>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</si>
  <si>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</si>
  <si>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</si>
  <si>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</si>
  <si>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</si>
  <si>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</si>
  <si>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</si>
  <si>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</si>
  <si>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</si>
  <si>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</si>
  <si>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</si>
  <si>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</si>
  <si>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</si>
  <si>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</si>
  <si>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</si>
  <si>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</si>
  <si>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</si>
  <si>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</si>
  <si>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</si>
  <si>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</si>
  <si>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</si>
  <si>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</si>
  <si>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</si>
  <si>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</si>
  <si>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</si>
  <si>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</si>
  <si>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</si>
  <si>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</si>
  <si>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</si>
  <si>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</si>
  <si>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</si>
  <si>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</si>
  <si>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</si>
  <si>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</si>
  <si>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</si>
  <si>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</si>
  <si>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</si>
  <si>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</si>
  <si>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</si>
  <si>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</si>
  <si>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</si>
  <si>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</si>
  <si>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</si>
  <si>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</si>
  <si>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</si>
  <si>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</si>
  <si>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</si>
  <si>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</si>
  <si>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</si>
  <si>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</si>
  <si>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</si>
  <si>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</si>
  <si>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</si>
  <si>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</si>
  <si>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</si>
  <si>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</si>
  <si>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</si>
  <si>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</si>
  <si>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</si>
  <si>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</si>
  <si>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</si>
  <si>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</si>
  <si>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</si>
  <si>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</si>
  <si>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</si>
  <si>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</si>
  <si>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</si>
  <si>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</si>
  <si>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</si>
  <si>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</si>
  <si>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</si>
  <si>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</si>
  <si>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</si>
  <si>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</si>
  <si>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</si>
  <si>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</si>
  <si>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</si>
  <si>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</si>
  <si>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</si>
  <si>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</si>
  <si>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</si>
  <si>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</si>
  <si>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</si>
  <si>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</si>
  <si>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</si>
  <si>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</si>
  <si>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</si>
  <si>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</si>
  <si>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</si>
  <si>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</si>
  <si>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</si>
  <si>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</si>
  <si>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</si>
  <si>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</si>
  <si>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</si>
  <si>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</si>
  <si>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</si>
  <si>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</si>
  <si>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</si>
  <si>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</si>
  <si>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</si>
  <si>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</si>
  <si>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</si>
  <si>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</si>
  <si>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</si>
  <si>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</si>
  <si>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</si>
  <si>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</si>
  <si>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</si>
  <si>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</si>
  <si>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</si>
  <si>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</si>
  <si>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</si>
  <si>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</si>
  <si>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</si>
  <si>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</si>
  <si>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</si>
  <si>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</si>
  <si>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</si>
  <si>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</si>
  <si>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</si>
  <si>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</si>
  <si>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</si>
  <si>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</si>
  <si>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</si>
  <si>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</si>
  <si>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</si>
  <si>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</si>
  <si>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</si>
  <si>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</si>
  <si>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</si>
  <si>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</si>
  <si>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</si>
  <si>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</si>
  <si>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</si>
  <si>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</si>
  <si>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</si>
  <si>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</si>
  <si>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</si>
  <si>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</si>
  <si>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</si>
  <si>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</si>
  <si>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</si>
  <si>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</si>
  <si>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</si>
  <si>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</si>
  <si>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</si>
  <si>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</si>
  <si>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</si>
  <si>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</si>
  <si>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</si>
  <si>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</si>
  <si>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</si>
  <si>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</si>
  <si>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</si>
  <si>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</si>
  <si>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</si>
  <si>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</si>
  <si>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</si>
  <si>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</si>
  <si>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</si>
  <si>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</si>
  <si>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</si>
  <si>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</si>
  <si>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</si>
  <si>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</si>
  <si>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</si>
  <si>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</si>
  <si>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</si>
  <si>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</si>
  <si>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</si>
  <si>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</si>
  <si>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</si>
  <si>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</si>
  <si>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</si>
  <si>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</si>
  <si>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</si>
  <si>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</si>
  <si>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</si>
  <si>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</si>
  <si>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</si>
  <si>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</si>
  <si>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</si>
  <si>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</si>
  <si>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</si>
  <si>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</si>
  <si>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</si>
  <si>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</si>
  <si>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</si>
  <si>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</si>
  <si>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</si>
  <si>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</si>
  <si>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</si>
  <si>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</si>
  <si>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</si>
  <si>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</si>
  <si>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</si>
  <si>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</si>
  <si>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</si>
  <si>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</si>
  <si>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</si>
  <si>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</si>
  <si>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</si>
  <si>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</si>
  <si>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</si>
  <si>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</si>
  <si>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</si>
  <si>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</si>
  <si>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</si>
  <si>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</si>
  <si>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</si>
  <si>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</si>
  <si>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</si>
  <si>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</si>
  <si>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</si>
  <si>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</si>
  <si>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</si>
  <si>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</si>
  <si>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</si>
  <si>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</si>
  <si>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</si>
  <si>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</si>
  <si>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</si>
  <si>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</si>
  <si>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</si>
  <si>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</si>
  <si>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</si>
  <si>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</si>
  <si>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</si>
  <si>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</si>
  <si>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</si>
  <si>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</si>
  <si>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</si>
  <si>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</si>
  <si>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</si>
  <si>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</si>
  <si>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</si>
  <si>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</si>
  <si>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</si>
  <si>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</si>
  <si>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</si>
  <si>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</si>
  <si>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</si>
  <si>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</si>
  <si>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</si>
  <si>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</si>
  <si>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</si>
  <si>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</si>
  <si>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</si>
  <si>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</si>
  <si>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</si>
  <si>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</si>
  <si>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</si>
  <si>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</si>
  <si>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</si>
  <si>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</si>
  <si>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</si>
  <si>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</si>
  <si>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</si>
  <si>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</si>
  <si>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</si>
  <si>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</si>
  <si>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</si>
  <si>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</si>
  <si>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</si>
  <si>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</si>
  <si>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</si>
  <si>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</si>
  <si>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</si>
  <si>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</si>
  <si>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</si>
  <si>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</si>
  <si>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</si>
  <si>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</si>
  <si>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</si>
  <si>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</si>
  <si>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</si>
  <si>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</si>
  <si>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</si>
  <si>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</si>
  <si>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</si>
  <si>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</si>
  <si>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</si>
  <si>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</si>
  <si>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</si>
  <si>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</si>
  <si>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</si>
  <si>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</si>
  <si>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</si>
  <si>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</si>
  <si>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</si>
  <si>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</si>
  <si>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</si>
  <si>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</si>
  <si>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</si>
  <si>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</si>
  <si>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</si>
  <si>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</si>
  <si>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</si>
  <si>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</si>
  <si>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</si>
  <si>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</si>
  <si>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</si>
  <si>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</si>
  <si>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</si>
  <si>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</si>
  <si>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</si>
  <si>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</si>
  <si>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</si>
  <si>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</si>
  <si>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</si>
  <si>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</si>
  <si>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</si>
  <si>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</si>
  <si>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</si>
  <si>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</si>
  <si>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</si>
  <si>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</si>
  <si>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</si>
  <si>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</si>
  <si>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</si>
  <si>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</si>
  <si>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</si>
  <si>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</si>
  <si>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</si>
  <si>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</si>
  <si>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</si>
  <si>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</si>
  <si>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</si>
  <si>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</si>
  <si>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</si>
  <si>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</si>
  <si>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</si>
  <si>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</si>
  <si>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</si>
  <si>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</si>
  <si>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</si>
  <si>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</si>
  <si>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</si>
  <si>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</si>
  <si>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</si>
  <si>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</si>
  <si>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</si>
  <si>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</si>
  <si>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</si>
  <si>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</si>
  <si>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</si>
  <si>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</si>
  <si>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</si>
  <si>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</si>
  <si>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</si>
  <si>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</si>
  <si>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</si>
  <si>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</si>
  <si>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</si>
  <si>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</si>
  <si>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</si>
  <si>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</si>
  <si>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</si>
  <si>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</si>
  <si>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</si>
  <si>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</si>
  <si>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</si>
  <si>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</si>
  <si>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</si>
  <si>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</si>
  <si>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</si>
  <si>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</si>
  <si>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</si>
  <si>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</si>
  <si>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</si>
  <si>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</si>
  <si>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</si>
  <si>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</si>
  <si>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</si>
  <si>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</si>
  <si>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</si>
  <si>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</si>
  <si>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</si>
  <si>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</si>
  <si>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</si>
  <si>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</si>
  <si>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</si>
  <si>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</si>
  <si>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</si>
  <si>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</si>
  <si>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</si>
  <si>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</si>
  <si>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</si>
  <si>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</si>
  <si>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</si>
  <si>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</si>
  <si>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</si>
  <si>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</si>
  <si>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</si>
  <si>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</si>
  <si>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</si>
  <si>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</si>
  <si>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</si>
  <si>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</si>
  <si>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</si>
  <si>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</si>
  <si>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</si>
  <si>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</si>
  <si>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</si>
  <si>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</si>
  <si>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</si>
  <si>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</si>
  <si>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</si>
  <si>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</si>
  <si>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</si>
  <si>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</si>
  <si>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</si>
  <si>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</si>
  <si>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</si>
  <si>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</si>
  <si>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</si>
  <si>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</si>
  <si>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</si>
  <si>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</si>
  <si>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</si>
  <si>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</si>
  <si>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</si>
  <si>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</si>
  <si>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</si>
  <si>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</si>
  <si>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</si>
  <si>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</si>
  <si>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</si>
  <si>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</si>
  <si>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</si>
  <si>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</si>
  <si>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</si>
  <si>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</si>
  <si>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</si>
  <si>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</si>
  <si>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</si>
  <si>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</si>
  <si>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</si>
  <si>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</si>
  <si>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</si>
  <si>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</si>
  <si>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</si>
  <si>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</si>
  <si>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</si>
  <si>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</si>
  <si>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</si>
  <si>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</si>
  <si>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</si>
  <si>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</si>
  <si>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</si>
  <si>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</si>
  <si>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</si>
  <si>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</si>
  <si>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</si>
  <si>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</si>
  <si>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</si>
  <si>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</si>
  <si>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</si>
  <si>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</si>
  <si>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</si>
  <si>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</si>
  <si>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</si>
  <si>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</si>
  <si>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</si>
  <si>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</si>
  <si>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</si>
  <si>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</si>
  <si>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</si>
  <si>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</si>
  <si>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</si>
  <si>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</si>
  <si>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</si>
  <si>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</si>
  <si>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</si>
  <si>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</si>
  <si>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</si>
  <si>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</si>
  <si>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</si>
  <si>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</si>
  <si>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</si>
  <si>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</si>
  <si>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</si>
  <si>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</si>
  <si>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</si>
  <si>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</si>
  <si>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</si>
  <si>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</si>
  <si>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</si>
  <si>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</si>
  <si>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</si>
  <si>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</si>
  <si>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</si>
  <si>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</si>
  <si>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</si>
  <si>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</si>
  <si>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</si>
  <si>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</si>
  <si>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</si>
  <si>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</si>
  <si>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</si>
  <si>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</si>
  <si>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</si>
  <si>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</si>
  <si>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</si>
  <si>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</si>
  <si>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</si>
  <si>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</si>
  <si>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</si>
  <si>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</si>
  <si>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</si>
  <si>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</si>
  <si>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</si>
  <si>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</si>
  <si>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</si>
  <si>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</si>
  <si>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</si>
  <si>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</si>
  <si>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</si>
  <si>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</si>
  <si>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</si>
  <si>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</si>
  <si>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</si>
  <si>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</si>
  <si>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</si>
  <si>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</si>
  <si>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</si>
  <si>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</si>
  <si>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</si>
  <si>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</si>
  <si>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</si>
  <si>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</si>
  <si>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</si>
  <si>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</si>
  <si>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</si>
  <si>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</si>
  <si>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</si>
  <si>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</si>
  <si>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</si>
  <si>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</si>
  <si>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</si>
  <si>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</si>
  <si>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</si>
  <si>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</si>
  <si>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</si>
  <si>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</si>
  <si>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</si>
  <si>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</si>
  <si>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</si>
  <si>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</si>
  <si>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</si>
  <si>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</si>
  <si>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</si>
  <si>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</si>
  <si>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</si>
  <si>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</si>
  <si>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</si>
  <si>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</si>
  <si>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</si>
  <si>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</si>
  <si>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</si>
  <si>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</si>
  <si>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</si>
  <si>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</si>
  <si>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</si>
  <si>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</si>
  <si>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</si>
  <si>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</si>
  <si>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</si>
  <si>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</si>
  <si>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</si>
  <si>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</si>
  <si>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</si>
  <si>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</si>
  <si>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</si>
  <si>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</si>
  <si>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</si>
  <si>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</si>
  <si>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</si>
  <si>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</si>
  <si>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</si>
  <si>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</si>
  <si>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</si>
  <si>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</si>
  <si>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</si>
  <si>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</si>
  <si>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</si>
  <si>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</si>
  <si>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</si>
  <si>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</si>
  <si>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</si>
  <si>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</si>
  <si>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</si>
  <si>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</si>
  <si>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</si>
  <si>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</si>
  <si>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</si>
  <si>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</si>
  <si>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</si>
  <si>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</si>
  <si>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</si>
  <si>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</si>
  <si>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</si>
  <si>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</si>
  <si>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</si>
  <si>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</si>
  <si>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</si>
  <si>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</si>
  <si>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</si>
  <si>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</si>
  <si>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</si>
  <si>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</si>
  <si>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</si>
  <si>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</si>
  <si>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</si>
  <si>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</si>
  <si>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</si>
  <si>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</si>
  <si>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</si>
  <si>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</si>
  <si>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</si>
  <si>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</si>
  <si>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</si>
  <si>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</si>
  <si>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</si>
  <si>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</si>
  <si>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</si>
  <si>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</si>
  <si>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</si>
  <si>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</si>
  <si>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</si>
  <si>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</si>
  <si>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</si>
  <si>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</si>
  <si>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</si>
  <si>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</si>
  <si>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</si>
  <si>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</si>
  <si>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</si>
  <si>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</si>
  <si>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</si>
  <si>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</si>
  <si>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</si>
  <si>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</si>
  <si>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</si>
  <si>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</si>
  <si>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</si>
  <si>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</si>
  <si>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</si>
  <si>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</si>
  <si>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</si>
  <si>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</si>
  <si>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</si>
  <si>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</si>
  <si>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</si>
  <si>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</si>
  <si>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</si>
  <si>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</si>
  <si>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</si>
  <si>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</si>
  <si>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</si>
  <si>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</si>
  <si>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</si>
  <si>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</si>
  <si>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</si>
  <si>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</si>
  <si>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</si>
  <si>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</si>
  <si>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</si>
  <si>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</si>
  <si>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</si>
  <si>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</si>
  <si>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</si>
  <si>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</si>
  <si>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</si>
  <si>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</si>
  <si>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</si>
  <si>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</si>
  <si>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</si>
  <si>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</si>
  <si>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</si>
  <si>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</si>
  <si>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</si>
  <si>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</si>
  <si>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</si>
  <si>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</si>
  <si>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</si>
  <si>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</si>
  <si>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</si>
  <si>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</si>
  <si>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</si>
  <si>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</si>
  <si>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</si>
  <si>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</si>
  <si>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</si>
  <si>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</si>
  <si>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</si>
  <si>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</si>
  <si>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</si>
  <si>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</si>
  <si>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</si>
  <si>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</si>
  <si>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</si>
  <si>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</si>
  <si>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</si>
  <si>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</si>
  <si>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</si>
  <si>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</si>
  <si>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</si>
  <si>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</si>
  <si>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</si>
  <si>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</si>
  <si>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</si>
  <si>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</si>
  <si>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</si>
  <si>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</si>
  <si>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</si>
  <si>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</si>
  <si>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</si>
  <si>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</si>
  <si>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</si>
  <si>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</si>
  <si>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</si>
  <si>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</si>
  <si>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</si>
  <si>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</si>
  <si>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</si>
  <si>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</si>
  <si>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</si>
  <si>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</si>
  <si>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</si>
  <si>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</si>
  <si>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</si>
  <si>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</si>
  <si>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</si>
  <si>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</si>
  <si>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</si>
  <si>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</si>
  <si>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</si>
  <si>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</si>
  <si>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</si>
  <si>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</si>
  <si>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</si>
  <si>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</si>
  <si>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</si>
  <si>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</si>
  <si>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</si>
  <si>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</si>
  <si>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</si>
  <si>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</si>
  <si>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</si>
  <si>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</si>
  <si>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</si>
  <si>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</si>
  <si>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</si>
  <si>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</si>
  <si>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</si>
  <si>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</si>
  <si>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</si>
  <si>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</si>
  <si>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</si>
  <si>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</si>
  <si>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</si>
  <si>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</si>
  <si>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</si>
  <si>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</si>
  <si>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</si>
  <si>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</si>
  <si>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</si>
  <si>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</si>
  <si>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</si>
  <si>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</si>
  <si>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</si>
  <si>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</si>
  <si>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</si>
  <si>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</si>
  <si>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</si>
  <si>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</si>
  <si>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</si>
  <si>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</si>
  <si>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</si>
  <si>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</si>
  <si>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</si>
  <si>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</si>
  <si>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</si>
  <si>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</si>
  <si>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</si>
  <si>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</si>
  <si>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</si>
  <si>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</si>
  <si>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</si>
  <si>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</si>
  <si>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</si>
  <si>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</si>
  <si>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</si>
  <si>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</si>
  <si>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</si>
  <si>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</si>
  <si>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</si>
  <si>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</si>
  <si>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</si>
  <si>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</si>
  <si>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</si>
  <si>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</si>
  <si>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</si>
  <si>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</si>
  <si>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</si>
  <si>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</si>
  <si>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</si>
  <si>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</si>
  <si>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</si>
  <si>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</si>
  <si>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</si>
  <si>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</si>
  <si>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</si>
  <si>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</si>
  <si>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</si>
  <si>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</si>
  <si>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</si>
  <si>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</si>
  <si>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</si>
  <si>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</si>
  <si>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</si>
  <si>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</si>
  <si>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</si>
  <si>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</si>
  <si>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</si>
  <si>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</si>
  <si>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</si>
  <si>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</si>
  <si>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</si>
  <si>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</si>
  <si>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</si>
  <si>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</si>
  <si>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</si>
  <si>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</si>
  <si>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</si>
  <si>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</si>
  <si>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</si>
  <si>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</si>
  <si>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</si>
  <si>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</si>
  <si>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</si>
  <si>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</si>
  <si>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</si>
  <si>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</si>
  <si>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</si>
  <si>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</si>
  <si>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</si>
  <si>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</si>
  <si>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</si>
  <si>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</si>
  <si>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</si>
  <si>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</si>
  <si>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</si>
  <si>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</si>
  <si>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</si>
  <si>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</si>
  <si>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</si>
  <si>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</si>
  <si>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</si>
  <si>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</si>
  <si>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</si>
  <si>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</si>
  <si>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</si>
  <si>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</si>
  <si>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</si>
  <si>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</si>
  <si>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</si>
  <si>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</si>
  <si>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</si>
  <si>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</si>
  <si>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</si>
  <si>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</si>
  <si>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</si>
  <si>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</si>
  <si>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</si>
  <si>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</si>
  <si>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</si>
  <si>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</si>
  <si>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</si>
  <si>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</si>
  <si>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</si>
  <si>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</si>
  <si>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</si>
  <si>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</si>
  <si>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</si>
  <si>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</si>
  <si>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</si>
  <si>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</si>
  <si>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</si>
  <si>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</si>
  <si>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</si>
  <si>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</si>
  <si>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</si>
  <si>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</si>
  <si>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</si>
  <si>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</si>
  <si>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</si>
  <si>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</si>
  <si>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</si>
  <si>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</si>
  <si>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</si>
  <si>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</si>
  <si>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</si>
  <si>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</si>
  <si>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</si>
  <si>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</si>
  <si>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</si>
  <si>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</si>
  <si>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</si>
  <si>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</si>
  <si>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</si>
  <si>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</si>
  <si>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</si>
  <si>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</si>
  <si>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</si>
  <si>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</si>
  <si>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</si>
  <si>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</si>
  <si>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</si>
  <si>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</si>
  <si>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</si>
  <si>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</si>
  <si>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</si>
  <si>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</si>
  <si>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</si>
  <si>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</si>
  <si>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</si>
  <si>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</si>
  <si>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</si>
  <si>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</si>
  <si>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</si>
  <si>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</si>
  <si>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</si>
  <si>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</si>
  <si>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</si>
  <si>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</si>
  <si>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</si>
  <si>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</si>
  <si>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</si>
  <si>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</si>
  <si>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</si>
  <si>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</si>
  <si>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</si>
  <si>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</si>
  <si>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</si>
  <si>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</si>
  <si>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</si>
  <si>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</si>
  <si>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</si>
  <si>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</si>
  <si>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</si>
  <si>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</si>
  <si>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</si>
  <si>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</si>
  <si>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</si>
  <si>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</si>
  <si>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</si>
  <si>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</si>
  <si>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</si>
  <si>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</si>
  <si>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</si>
  <si>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</si>
  <si>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</si>
  <si>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</si>
  <si>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</si>
  <si>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</si>
  <si>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</si>
  <si>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</si>
  <si>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</si>
  <si>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</si>
  <si>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</si>
  <si>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</si>
  <si>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</si>
  <si>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</si>
  <si>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</si>
  <si>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</si>
  <si>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</si>
  <si>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</si>
  <si>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</si>
  <si>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</si>
  <si>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</si>
  <si>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</si>
  <si>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</si>
  <si>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</si>
  <si>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</si>
  <si>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</si>
  <si>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</si>
  <si>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</si>
  <si>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</si>
  <si>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</si>
  <si>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</si>
  <si>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</si>
  <si>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</si>
  <si>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</si>
  <si>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</si>
  <si>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</si>
  <si>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</si>
  <si>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</si>
  <si>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</si>
  <si>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</si>
  <si>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</si>
  <si>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</si>
  <si>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</si>
  <si>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</si>
  <si>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</si>
  <si>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</si>
  <si>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</si>
  <si>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</si>
  <si>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</si>
  <si>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</si>
  <si>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</si>
  <si>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</si>
  <si>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</si>
  <si>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</si>
  <si>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</si>
  <si>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</si>
  <si>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</si>
  <si>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</si>
  <si>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</si>
  <si>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</si>
  <si>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</si>
  <si>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</si>
  <si>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</si>
  <si>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</si>
  <si>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</si>
  <si>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</si>
  <si>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</si>
  <si>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</si>
  <si>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</si>
  <si>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</si>
  <si>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</si>
  <si>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</si>
  <si>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</si>
  <si>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</si>
  <si>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</si>
  <si>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</si>
  <si>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</si>
  <si>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</si>
  <si>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</si>
  <si>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</si>
  <si>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</si>
  <si>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</si>
  <si>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</si>
  <si>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</si>
  <si>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</si>
  <si>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</si>
  <si>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</si>
  <si>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</si>
  <si>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</si>
  <si>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</si>
  <si>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</si>
  <si>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</si>
  <si>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</si>
  <si>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</si>
  <si>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</si>
  <si>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</si>
  <si>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</si>
  <si>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</si>
  <si>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</si>
  <si>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</si>
  <si>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</si>
  <si>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</si>
  <si>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</si>
  <si>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</si>
  <si>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</si>
  <si>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</si>
  <si>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</si>
  <si>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</si>
  <si>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</si>
  <si>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</si>
  <si>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</si>
  <si>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</si>
  <si>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</si>
  <si>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</si>
  <si>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</si>
  <si>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</si>
  <si>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</si>
  <si>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</si>
  <si>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</si>
  <si>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</si>
  <si>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</si>
  <si>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</si>
  <si>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</si>
  <si>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</si>
  <si>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</si>
  <si>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</si>
  <si>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</si>
  <si>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</si>
  <si>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</si>
  <si>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</si>
  <si>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</si>
  <si>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</si>
  <si>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</si>
  <si>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</si>
  <si>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</si>
  <si>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</si>
  <si>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</si>
  <si>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</si>
  <si>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</si>
  <si>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</si>
  <si>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</si>
  <si>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</si>
  <si>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</si>
  <si>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</si>
  <si>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</si>
  <si>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</si>
  <si>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</si>
  <si>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</si>
  <si>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</si>
  <si>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</si>
  <si>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</si>
  <si>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</si>
  <si>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</si>
  <si>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</si>
  <si>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</si>
  <si>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</si>
  <si>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</si>
  <si>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</si>
  <si>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</si>
  <si>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</si>
  <si>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</si>
  <si>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</si>
  <si>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</si>
  <si>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</si>
  <si>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</si>
  <si>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</si>
  <si>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</si>
  <si>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</si>
  <si>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</si>
  <si>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</si>
  <si>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</si>
  <si>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</si>
  <si>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</si>
  <si>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</si>
  <si>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</si>
  <si>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</si>
  <si>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</si>
  <si>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</si>
  <si>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</si>
  <si>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</si>
  <si>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</si>
  <si>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</si>
  <si>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</si>
  <si>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</si>
  <si>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</si>
  <si>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</si>
  <si>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</si>
  <si>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</si>
  <si>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</si>
  <si>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</si>
  <si>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</si>
  <si>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</si>
  <si>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</si>
  <si>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</si>
  <si>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</si>
  <si>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</si>
  <si>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</si>
  <si>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</si>
  <si>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</si>
  <si>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</si>
  <si>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</si>
  <si>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</si>
  <si>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</si>
  <si>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</si>
  <si>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</si>
  <si>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</si>
  <si>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</si>
  <si>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</si>
  <si>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</si>
  <si>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</si>
  <si>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</si>
  <si>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</si>
  <si>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</si>
  <si>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</si>
  <si>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</si>
  <si>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</si>
  <si>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</si>
  <si>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</si>
  <si>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</si>
  <si>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</si>
  <si>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</si>
  <si>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</si>
  <si>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</si>
  <si>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</si>
  <si>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</si>
  <si>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</si>
  <si>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</si>
  <si>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</si>
  <si>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</si>
  <si>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</si>
  <si>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</si>
  <si>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</si>
  <si>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</si>
  <si>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</si>
  <si>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</si>
  <si>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</si>
  <si>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</si>
  <si>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</si>
  <si>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</si>
  <si>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</si>
  <si>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</si>
  <si>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</si>
  <si>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</si>
  <si>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</si>
  <si>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</si>
  <si>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</si>
  <si>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</si>
  <si>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</si>
  <si>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</si>
  <si>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</si>
  <si>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</si>
  <si>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</si>
  <si>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</si>
  <si>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</si>
  <si>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</si>
  <si>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</si>
  <si>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</si>
  <si>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</si>
  <si>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</si>
  <si>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</si>
  <si>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</si>
  <si>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</si>
  <si>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</si>
  <si>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</si>
  <si>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</si>
  <si>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</si>
  <si>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</si>
  <si>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</si>
  <si>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</si>
  <si>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</si>
  <si>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</si>
  <si>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</si>
  <si>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</si>
  <si>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</si>
  <si>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</si>
  <si>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</si>
  <si>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</si>
  <si>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</si>
  <si>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</si>
  <si>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</si>
  <si>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</si>
  <si>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</si>
  <si>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</si>
  <si>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</si>
  <si>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</si>
  <si>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</si>
  <si>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</si>
  <si>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</si>
  <si>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</si>
  <si>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</si>
  <si>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</si>
  <si>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</si>
  <si>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</si>
  <si>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</si>
  <si>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</si>
  <si>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</si>
  <si>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</si>
  <si>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</si>
  <si>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</si>
  <si>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</si>
  <si>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</si>
  <si>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</si>
  <si>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</si>
  <si>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</si>
  <si>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</si>
  <si>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</si>
  <si>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</si>
  <si>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</si>
  <si>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</si>
  <si>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</si>
  <si>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</si>
  <si>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</si>
  <si>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</si>
  <si>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</si>
  <si>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</si>
  <si>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</si>
  <si>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</si>
  <si>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</si>
  <si>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</si>
  <si>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</si>
  <si>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</si>
  <si>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</si>
  <si>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</si>
  <si>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</si>
  <si>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</si>
  <si>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</si>
  <si>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</si>
  <si>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</si>
  <si>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</si>
  <si>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</si>
  <si>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</si>
  <si>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</si>
  <si>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</si>
  <si>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</si>
  <si>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</si>
  <si>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</si>
  <si>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</si>
  <si>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</si>
  <si>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</si>
  <si>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</si>
  <si>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</si>
  <si>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</si>
  <si>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</si>
  <si>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</si>
  <si>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</si>
  <si>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</si>
  <si>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</si>
  <si>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</si>
  <si>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</si>
  <si>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</si>
  <si>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</si>
  <si>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</si>
  <si>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</si>
  <si>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</si>
  <si>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</si>
  <si>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</si>
  <si>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</si>
  <si>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</si>
  <si>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</si>
  <si>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</si>
  <si>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</si>
  <si>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</si>
  <si>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</si>
  <si>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</si>
  <si>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</si>
  <si>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</si>
  <si>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</si>
  <si>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</si>
  <si>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</si>
  <si>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</si>
  <si>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</si>
  <si>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</si>
  <si>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</si>
  <si>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</si>
  <si>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</si>
  <si>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</si>
  <si>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</si>
  <si>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</si>
  <si>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</si>
  <si>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</si>
  <si>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</si>
  <si>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</si>
  <si>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</si>
  <si>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</si>
  <si>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</si>
  <si>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</si>
  <si>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</si>
  <si>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</si>
  <si>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</si>
  <si>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</si>
  <si>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</si>
  <si>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</si>
  <si>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</si>
  <si>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</si>
  <si>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</si>
  <si>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</si>
  <si>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</si>
  <si>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</si>
  <si>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</si>
  <si>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</si>
  <si>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</si>
  <si>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</si>
  <si>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</si>
  <si>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</si>
  <si>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</si>
  <si>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</si>
  <si>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</si>
  <si>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</si>
  <si>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</si>
  <si>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</si>
  <si>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</si>
  <si>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</si>
  <si>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</si>
  <si>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</si>
  <si>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</si>
  <si>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</si>
  <si>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</si>
  <si>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</si>
  <si>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</si>
  <si>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</si>
  <si>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</si>
  <si>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</si>
  <si>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</si>
  <si>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</si>
  <si>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</si>
  <si>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</si>
  <si>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</si>
  <si>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</si>
  <si>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</si>
  <si>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</si>
  <si>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</si>
  <si>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</si>
  <si>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</si>
  <si>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</si>
  <si>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</si>
  <si>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</si>
  <si>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</si>
  <si>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</si>
  <si>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</si>
  <si>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</si>
  <si>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</si>
  <si>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</si>
  <si>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</si>
  <si>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</si>
  <si>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</si>
  <si>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</si>
  <si>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</si>
  <si>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</si>
  <si>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</si>
  <si>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</si>
  <si>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</si>
  <si>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</si>
  <si>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</si>
  <si>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</si>
  <si>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</si>
  <si>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</si>
  <si>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</si>
  <si>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</si>
  <si>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</si>
  <si>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</si>
  <si>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</si>
  <si>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</si>
  <si>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</si>
  <si>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</si>
  <si>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</si>
  <si>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</si>
  <si>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</si>
  <si>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</si>
  <si>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</si>
  <si>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</si>
  <si>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</si>
  <si>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</si>
  <si>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</si>
  <si>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</si>
  <si>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</si>
  <si>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</si>
  <si>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</si>
  <si>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</si>
  <si>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</si>
  <si>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</si>
  <si>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</si>
  <si>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</si>
  <si>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</si>
  <si>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</si>
  <si>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</si>
  <si>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</si>
  <si>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</si>
  <si>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</si>
  <si>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</si>
  <si>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</si>
  <si>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</si>
  <si>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</si>
  <si>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</si>
  <si>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</si>
  <si>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</si>
  <si>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</si>
  <si>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</si>
  <si>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</si>
  <si>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</si>
  <si>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</si>
  <si>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</si>
  <si>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</si>
  <si>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</si>
  <si>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</si>
  <si>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</si>
  <si>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</si>
  <si>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</si>
  <si>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</si>
  <si>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</si>
  <si>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</si>
  <si>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</si>
  <si>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</si>
  <si>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</si>
  <si>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</si>
  <si>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</si>
  <si>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</si>
  <si>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</si>
  <si>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</si>
  <si>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</si>
  <si>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</si>
  <si>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</si>
  <si>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</si>
  <si>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</si>
  <si>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</si>
  <si>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</si>
  <si>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</si>
  <si>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</si>
  <si>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</si>
  <si>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</si>
  <si>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</si>
  <si>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</si>
  <si>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</si>
  <si>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</si>
  <si>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</si>
  <si>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</si>
  <si>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</si>
  <si>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</si>
  <si>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</si>
  <si>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</si>
  <si>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</si>
  <si>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</si>
  <si>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</si>
  <si>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</si>
  <si>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</si>
  <si>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</si>
  <si>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</si>
  <si>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</si>
  <si>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</si>
  <si>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</si>
  <si>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</si>
  <si>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</si>
  <si>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</si>
  <si>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</si>
  <si>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</si>
  <si>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</si>
  <si>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</si>
  <si>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</si>
  <si>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</si>
  <si>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</si>
  <si>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</si>
  <si>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</si>
  <si>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</si>
  <si>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</si>
  <si>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</si>
  <si>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</si>
  <si>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</si>
  <si>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</si>
  <si>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</si>
  <si>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</si>
  <si>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</si>
  <si>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</si>
  <si>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</si>
  <si>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</si>
  <si>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</si>
  <si>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</si>
  <si>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</si>
  <si>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</si>
  <si>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</si>
  <si>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</si>
  <si>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</si>
  <si>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</si>
  <si>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</si>
  <si>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</si>
  <si>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</si>
  <si>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</si>
  <si>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</si>
  <si>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</si>
  <si>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</si>
  <si>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</si>
  <si>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</si>
  <si>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</si>
  <si>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</si>
  <si>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</si>
  <si>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</si>
  <si>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</si>
  <si>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</si>
  <si>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</si>
  <si>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</si>
  <si>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</si>
  <si>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</si>
  <si>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</si>
  <si>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</si>
  <si>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</si>
  <si>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</si>
  <si>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</si>
  <si>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</si>
  <si>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</si>
  <si>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</si>
  <si>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</si>
  <si>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</si>
  <si>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</si>
  <si>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</si>
  <si>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</si>
  <si>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</si>
  <si>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</si>
  <si>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</si>
  <si>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</si>
  <si>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</si>
  <si>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</si>
  <si>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</si>
  <si>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</si>
  <si>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</si>
  <si>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</si>
  <si>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</si>
  <si>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</si>
  <si>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</si>
  <si>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</si>
  <si>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</si>
  <si>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</si>
  <si>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</si>
  <si>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</si>
  <si>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</si>
  <si>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</si>
  <si>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</si>
  <si>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</si>
  <si>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</si>
  <si>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</si>
  <si>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</si>
  <si>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</si>
  <si>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</si>
  <si>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</si>
  <si>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</si>
  <si>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</si>
  <si>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</si>
  <si>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</si>
  <si>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</si>
  <si>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</si>
  <si>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</si>
  <si>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</si>
  <si>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</si>
  <si>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</si>
  <si>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</si>
  <si>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</si>
  <si>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</si>
  <si>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</si>
  <si>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</si>
  <si>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</si>
  <si>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</si>
  <si>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</si>
  <si>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</si>
  <si>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</si>
  <si>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</si>
  <si>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</si>
  <si>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</si>
  <si>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</si>
  <si>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</si>
  <si>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</si>
  <si>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</si>
  <si>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</si>
  <si>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</si>
  <si>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</si>
  <si>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</si>
  <si>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</si>
  <si>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</si>
  <si>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</si>
  <si>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</si>
  <si>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</si>
  <si>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</si>
  <si>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</si>
  <si>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</si>
  <si>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</si>
  <si>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</si>
  <si>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</si>
  <si>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</si>
  <si>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</si>
  <si>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</si>
  <si>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</si>
  <si>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</si>
  <si>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</si>
  <si>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</si>
  <si>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</si>
  <si>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</si>
  <si>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</si>
  <si>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</si>
  <si>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</si>
  <si>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</si>
  <si>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</si>
  <si>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</si>
  <si>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</si>
  <si>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</si>
  <si>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</si>
  <si>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</si>
  <si>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</si>
  <si>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</si>
  <si>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</si>
  <si>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</si>
  <si>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</si>
  <si>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</si>
  <si>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</si>
  <si>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</si>
  <si>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</si>
  <si>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</si>
  <si>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</si>
  <si>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</si>
  <si>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</si>
  <si>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</si>
  <si>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</si>
  <si>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</si>
  <si>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</si>
  <si>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</si>
  <si>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</si>
  <si>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</si>
  <si>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</si>
  <si>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</si>
  <si>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</si>
  <si>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</si>
  <si>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</si>
  <si>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</si>
  <si>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</si>
  <si>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</si>
  <si>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</si>
  <si>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</si>
  <si>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</si>
  <si>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</si>
  <si>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</si>
  <si>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</si>
  <si>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</si>
  <si>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</si>
  <si>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</si>
  <si>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</si>
  <si>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</si>
  <si>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</si>
  <si>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</si>
  <si>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</si>
  <si>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</si>
  <si>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</si>
  <si>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</si>
  <si>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</si>
  <si>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</si>
  <si>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</si>
  <si>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</si>
  <si>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</si>
  <si>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</si>
  <si>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</si>
  <si>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</si>
  <si>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</si>
  <si>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</si>
  <si>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</si>
  <si>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</si>
  <si>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</si>
  <si>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</si>
  <si>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</si>
  <si>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</si>
  <si>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</si>
  <si>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</si>
  <si>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</si>
  <si>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</si>
  <si>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</si>
  <si>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</si>
  <si>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</si>
  <si>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</si>
  <si>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</si>
  <si>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</si>
  <si>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</si>
  <si>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</si>
  <si>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</si>
  <si>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</si>
  <si>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</si>
  <si>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</si>
  <si>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</si>
  <si>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</si>
  <si>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</si>
  <si>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</si>
  <si>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</si>
  <si>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</si>
  <si>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</si>
  <si>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</si>
  <si>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</si>
  <si>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</si>
  <si>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</si>
  <si>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</si>
  <si>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</si>
  <si>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</si>
  <si>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</si>
  <si>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</si>
  <si>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</si>
  <si>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</si>
  <si>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</si>
  <si>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</si>
  <si>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</si>
  <si>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</si>
  <si>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</si>
  <si>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</si>
  <si>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</si>
  <si>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</si>
  <si>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</si>
  <si>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</si>
  <si>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</si>
  <si>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</si>
  <si>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</si>
  <si>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</si>
  <si>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</si>
  <si>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</si>
  <si>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</si>
  <si>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</si>
  <si>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</si>
  <si>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</si>
  <si>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</si>
  <si>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</si>
  <si>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</si>
  <si>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</si>
  <si>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</si>
  <si>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</si>
  <si>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</si>
  <si>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</si>
  <si>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</si>
  <si>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</si>
  <si>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</si>
  <si>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</si>
  <si>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</si>
  <si>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</si>
  <si>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</si>
  <si>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</si>
  <si>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</si>
  <si>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</si>
  <si>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</si>
  <si>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</si>
  <si>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</si>
  <si>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</si>
  <si>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</si>
  <si>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</si>
  <si>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</si>
  <si>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</si>
  <si>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</si>
  <si>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</si>
  <si>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</si>
  <si>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</si>
  <si>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</si>
  <si>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</si>
  <si>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</si>
  <si>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</si>
  <si>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</si>
  <si>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</si>
  <si>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</si>
  <si>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</si>
  <si>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</si>
  <si>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</si>
  <si>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</si>
  <si>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</si>
  <si>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</si>
  <si>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</si>
  <si>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</si>
  <si>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</si>
  <si>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</si>
  <si>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</si>
  <si>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</si>
  <si>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</si>
  <si>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</si>
  <si>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</si>
  <si>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</si>
  <si>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</si>
  <si>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</si>
  <si>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</si>
  <si>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</si>
  <si>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</si>
  <si>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</si>
  <si>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</si>
  <si>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</si>
  <si>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</si>
  <si>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</si>
  <si>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</si>
  <si>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</si>
  <si>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</si>
  <si>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</si>
  <si>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</si>
  <si>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</si>
  <si>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</si>
  <si>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</si>
  <si>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</si>
  <si>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</si>
  <si>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</si>
  <si>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</si>
  <si>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</si>
  <si>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</si>
  <si>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</si>
  <si>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</si>
  <si>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</si>
  <si>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</si>
  <si>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</si>
  <si>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</si>
  <si>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</si>
  <si>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</si>
  <si>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</si>
  <si>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</si>
  <si>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</si>
  <si>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</si>
  <si>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</si>
  <si>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</si>
  <si>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</si>
  <si>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</si>
  <si>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</si>
  <si>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</si>
  <si>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</si>
  <si>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</si>
  <si>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</si>
  <si>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</si>
  <si>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</si>
  <si>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</si>
  <si>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</si>
  <si>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</si>
  <si>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</si>
  <si>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</si>
  <si>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</si>
  <si>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</si>
  <si>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</si>
  <si>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</si>
  <si>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</si>
  <si>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</si>
  <si>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</si>
  <si>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</si>
  <si>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</si>
  <si>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</si>
  <si>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</si>
  <si>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</si>
  <si>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</si>
  <si>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</si>
  <si>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</si>
  <si>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</si>
  <si>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</si>
  <si>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</si>
  <si>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</si>
  <si>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</si>
  <si>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</si>
  <si>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</si>
  <si>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</si>
  <si>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</si>
  <si>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</si>
  <si>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</si>
  <si>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</si>
  <si>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</si>
  <si>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</si>
  <si>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</si>
  <si>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</si>
  <si>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</si>
  <si>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</si>
  <si>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</si>
  <si>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</si>
  <si>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</si>
  <si>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</si>
  <si>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</si>
  <si>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</si>
  <si>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</si>
  <si>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</si>
  <si>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</si>
  <si>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</si>
  <si>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</si>
  <si>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</si>
  <si>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</si>
  <si>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</si>
  <si>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</si>
  <si>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</si>
  <si>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</si>
  <si>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</si>
  <si>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</si>
  <si>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</si>
  <si>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</si>
  <si>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</si>
  <si>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</si>
  <si>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</si>
  <si>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</si>
  <si>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</si>
  <si>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</si>
  <si>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</si>
  <si>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</si>
  <si>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</si>
  <si>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</si>
  <si>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</si>
  <si>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</si>
  <si>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</si>
  <si>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</si>
  <si>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</si>
  <si>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</si>
  <si>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</si>
  <si>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</si>
  <si>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</si>
  <si>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</si>
  <si>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</si>
  <si>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</si>
  <si>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</si>
  <si>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</si>
  <si>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</si>
  <si>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</si>
  <si>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</si>
  <si>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</si>
  <si>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</si>
  <si>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</si>
  <si>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</si>
  <si>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</si>
  <si>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</si>
  <si>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</si>
  <si>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</si>
  <si>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</si>
  <si>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</si>
  <si>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</si>
  <si>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</si>
  <si>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</si>
  <si>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</si>
  <si>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</si>
  <si>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</si>
  <si>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</si>
  <si>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</si>
  <si>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</si>
  <si>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</si>
  <si>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</si>
  <si>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</si>
  <si>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</si>
  <si>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</si>
  <si>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</si>
  <si>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</si>
  <si>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</si>
  <si>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</si>
  <si>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</si>
  <si>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</si>
  <si>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</si>
  <si>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</si>
  <si>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</si>
  <si>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</si>
  <si>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</si>
  <si>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</si>
  <si>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</si>
  <si>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</si>
  <si>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</si>
  <si>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</si>
  <si>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</si>
  <si>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</si>
  <si>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</si>
  <si>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</si>
  <si>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</si>
  <si>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</si>
  <si>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</si>
  <si>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</si>
  <si>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</si>
  <si>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</si>
  <si>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</si>
  <si>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</si>
  <si>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</si>
  <si>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</si>
  <si>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</si>
  <si>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</si>
  <si>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</si>
  <si>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</si>
  <si>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</si>
  <si>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</si>
  <si>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</si>
  <si>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</si>
  <si>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</si>
  <si>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</si>
  <si>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</si>
  <si>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</si>
  <si>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</si>
  <si>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</si>
  <si>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</si>
  <si>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</si>
  <si>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</si>
  <si>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</si>
  <si>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</si>
  <si>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</si>
  <si>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</si>
  <si>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</si>
  <si>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</si>
  <si>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</si>
  <si>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</si>
  <si>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</si>
  <si>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</si>
  <si>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</si>
  <si>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</si>
  <si>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</si>
  <si>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</si>
  <si>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</si>
  <si>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</si>
  <si>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</si>
  <si>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</si>
  <si>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</si>
  <si>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</si>
  <si>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</si>
  <si>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</si>
  <si>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</si>
  <si>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</si>
  <si>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</si>
  <si>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</si>
  <si>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</si>
  <si>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</si>
  <si>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</si>
  <si>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</si>
  <si>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</si>
  <si>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</si>
  <si>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</si>
  <si>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</si>
  <si>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</si>
  <si>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</si>
  <si>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</si>
  <si>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</si>
  <si>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</si>
  <si>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</si>
  <si>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</si>
  <si>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</si>
  <si>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</si>
  <si>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</si>
  <si>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</si>
  <si>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</si>
  <si>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</si>
  <si>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</si>
  <si>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</si>
  <si>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</si>
  <si>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</si>
  <si>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</si>
  <si>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</si>
  <si>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</si>
  <si>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</si>
  <si>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</si>
  <si>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</si>
  <si>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</si>
  <si>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</si>
  <si>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</si>
  <si>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</si>
  <si>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</si>
  <si>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</si>
  <si>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</si>
  <si>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</si>
  <si>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</si>
  <si>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</si>
  <si>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</si>
  <si>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</si>
  <si>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</si>
  <si>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</si>
  <si>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</si>
  <si>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</si>
  <si>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</si>
  <si>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</si>
  <si>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</si>
  <si>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</si>
  <si>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</si>
  <si>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</si>
  <si>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</si>
  <si>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</si>
  <si>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</si>
  <si>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</si>
  <si>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</si>
  <si>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</si>
  <si>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</si>
  <si>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</si>
  <si>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</si>
  <si>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</si>
  <si>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</si>
  <si>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</si>
  <si>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</si>
  <si>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</si>
  <si>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</si>
  <si>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</si>
  <si>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</si>
  <si>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</si>
  <si>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</si>
  <si>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</si>
  <si>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</si>
  <si>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</si>
  <si>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</si>
  <si>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</si>
  <si>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</si>
  <si>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</si>
  <si>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</si>
  <si>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</si>
  <si>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</si>
  <si>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</si>
  <si>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</si>
  <si>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</si>
  <si>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</si>
  <si>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</si>
  <si>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</si>
  <si>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</si>
  <si>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</si>
  <si>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</si>
  <si>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</si>
  <si>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</si>
  <si>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</si>
  <si>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</si>
  <si>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</si>
  <si>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</si>
  <si>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</si>
  <si>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</si>
  <si>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</si>
  <si>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</si>
  <si>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</si>
  <si>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</si>
  <si>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</si>
  <si>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</si>
  <si>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</si>
  <si>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</si>
  <si>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</si>
  <si>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</si>
  <si>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</si>
  <si>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</si>
  <si>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</si>
  <si>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</si>
  <si>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</si>
  <si>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</si>
  <si>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</si>
  <si>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</si>
  <si>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</si>
  <si>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</si>
  <si>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</si>
  <si>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</si>
  <si>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</si>
  <si>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</si>
  <si>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</si>
  <si>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</si>
  <si>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</si>
  <si>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</si>
  <si>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</si>
  <si>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</si>
  <si>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</si>
  <si>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</si>
  <si>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</si>
  <si>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</si>
  <si>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</si>
  <si>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</si>
  <si>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</si>
  <si>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</si>
  <si>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</si>
  <si>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</si>
  <si>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</si>
  <si>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</si>
  <si>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</si>
  <si>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</si>
  <si>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</si>
  <si>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</si>
  <si>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</si>
  <si>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</si>
  <si>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</si>
  <si>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</si>
  <si>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</si>
  <si>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</si>
  <si>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</si>
  <si>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</si>
  <si>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</si>
  <si>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</si>
  <si>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</si>
  <si>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</si>
  <si>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</si>
  <si>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</si>
  <si>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</si>
  <si>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</si>
  <si>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</si>
  <si>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</si>
  <si>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</si>
  <si>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</si>
  <si>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</si>
  <si>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</si>
  <si>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</si>
  <si>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</si>
  <si>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</si>
  <si>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</si>
  <si>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</si>
  <si>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</si>
  <si>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</si>
  <si>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</si>
  <si>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</si>
  <si>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</si>
  <si>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</si>
  <si>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</si>
  <si>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</si>
  <si>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</si>
  <si>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</si>
  <si>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</si>
  <si>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</si>
  <si>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</si>
  <si>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</si>
  <si>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</si>
  <si>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</si>
  <si>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</si>
  <si>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</si>
  <si>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</si>
  <si>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</si>
  <si>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</si>
  <si>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</si>
  <si>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</si>
  <si>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</si>
  <si>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</si>
  <si>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</si>
  <si>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</si>
  <si>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</si>
  <si>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</si>
  <si>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</si>
  <si>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</si>
  <si>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</si>
  <si>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</si>
  <si>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</si>
  <si>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</si>
  <si>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</si>
  <si>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</si>
  <si>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</si>
  <si>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</si>
  <si>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</si>
  <si>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</si>
  <si>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</si>
  <si>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</si>
  <si>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</si>
  <si>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</si>
  <si>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</si>
  <si>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</si>
  <si>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</si>
  <si>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</si>
  <si>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</si>
  <si>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</si>
  <si>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</si>
  <si>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</si>
  <si>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</si>
  <si>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</si>
  <si>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</si>
  <si>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</si>
  <si>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</si>
  <si>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</si>
  <si>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</si>
  <si>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</si>
  <si>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</si>
  <si>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</si>
  <si>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</si>
  <si>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</si>
  <si>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</si>
  <si>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</si>
  <si>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</si>
  <si>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</si>
  <si>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</si>
  <si>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</si>
  <si>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</si>
  <si>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</si>
  <si>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</si>
  <si>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</si>
  <si>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</si>
  <si>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</si>
  <si>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</si>
  <si>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</si>
  <si>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</si>
  <si>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</si>
  <si>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</si>
  <si>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</si>
  <si>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</si>
  <si>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</si>
  <si>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</si>
  <si>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</si>
  <si>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</si>
  <si>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</si>
  <si>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</si>
  <si>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</si>
  <si>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</si>
  <si>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</si>
  <si>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</si>
  <si>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</si>
  <si>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</si>
  <si>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</si>
  <si>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</si>
  <si>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</si>
  <si>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</si>
  <si>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</si>
  <si>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</si>
  <si>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</si>
  <si>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</si>
  <si>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</si>
  <si>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</si>
  <si>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</si>
  <si>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</si>
  <si>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</si>
  <si>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</si>
  <si>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</si>
  <si>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</si>
  <si>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</si>
  <si>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</si>
  <si>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</si>
  <si>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</si>
  <si>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</si>
  <si>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</si>
  <si>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</si>
  <si>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</si>
  <si>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</si>
  <si>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</si>
  <si>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</si>
  <si>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</si>
  <si>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</si>
  <si>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</si>
  <si>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</si>
  <si>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</si>
  <si>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</si>
  <si>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</si>
  <si>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</si>
  <si>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</si>
  <si>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</si>
  <si>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</si>
  <si>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</si>
  <si>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</si>
  <si>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</si>
  <si>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</si>
  <si>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</si>
  <si>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</si>
  <si>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</si>
  <si>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</si>
  <si>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</si>
  <si>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</si>
  <si>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</si>
  <si>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</si>
  <si>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</si>
  <si>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</si>
  <si>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</si>
  <si>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</si>
  <si>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</si>
  <si>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</si>
  <si>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</si>
  <si>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</si>
  <si>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</si>
  <si>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</si>
  <si>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</si>
  <si>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</si>
  <si>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</si>
  <si>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</si>
  <si>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</si>
  <si>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</si>
  <si>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</si>
  <si>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</si>
  <si>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</si>
  <si>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</si>
  <si>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</si>
  <si>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</si>
  <si>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</si>
  <si>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</si>
  <si>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</si>
  <si>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</si>
  <si>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</si>
  <si>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</si>
  <si>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</si>
  <si>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</si>
  <si>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</si>
  <si>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</si>
  <si>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</si>
  <si>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</si>
  <si>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</si>
  <si>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</si>
  <si>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</si>
  <si>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</si>
  <si>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</si>
  <si>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</si>
  <si>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</si>
  <si>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</si>
  <si>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</si>
  <si>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</si>
  <si>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</si>
  <si>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</si>
  <si>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</si>
  <si>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</si>
  <si>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</si>
  <si>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</si>
  <si>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</si>
  <si>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</si>
  <si>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</si>
  <si>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</si>
  <si>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</si>
  <si>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</si>
  <si>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</si>
  <si>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</si>
  <si>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</si>
  <si>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</si>
  <si>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</si>
  <si>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</si>
  <si>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</si>
  <si>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</si>
  <si>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</si>
  <si>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</si>
  <si>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</si>
  <si>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</si>
  <si>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</si>
  <si>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</si>
  <si>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</si>
  <si>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</si>
  <si>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</si>
  <si>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</si>
  <si>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</si>
  <si>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</si>
  <si>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</si>
  <si>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</si>
  <si>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</si>
  <si>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</si>
  <si>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</si>
  <si>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</si>
  <si>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</si>
  <si>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</si>
  <si>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</si>
  <si>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</si>
  <si>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</si>
  <si>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</si>
  <si>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</si>
  <si>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</si>
  <si>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</si>
  <si>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</si>
  <si>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</si>
  <si>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</si>
  <si>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</si>
  <si>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</si>
  <si>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</si>
  <si>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</si>
  <si>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</si>
  <si>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</si>
  <si>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</si>
  <si>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</si>
  <si>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</si>
  <si>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</si>
  <si>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</si>
  <si>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</si>
  <si>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</si>
  <si>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</si>
  <si>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</si>
  <si>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</si>
  <si>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</si>
  <si>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</si>
  <si>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</si>
  <si>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</si>
  <si>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</si>
  <si>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</si>
  <si>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</si>
  <si>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</si>
  <si>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</si>
  <si>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</si>
  <si>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</si>
  <si>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</si>
  <si>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</si>
  <si>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</si>
  <si>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</si>
  <si>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</si>
  <si>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</si>
  <si>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</si>
  <si>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</si>
  <si>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</si>
  <si>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</si>
  <si>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</si>
  <si>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</si>
  <si>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</si>
  <si>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</si>
  <si>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</si>
  <si>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</si>
  <si>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</si>
  <si>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</si>
  <si>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</si>
  <si>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</si>
  <si>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</si>
  <si>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</si>
  <si>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</si>
  <si>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</si>
  <si>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</si>
  <si>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</si>
  <si>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</si>
  <si>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</si>
  <si>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</si>
  <si>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</si>
  <si>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</si>
  <si>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</si>
  <si>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</si>
  <si>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</si>
  <si>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</si>
  <si>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</si>
  <si>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</si>
  <si>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</si>
  <si>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</si>
  <si>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</si>
  <si>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</si>
  <si>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</si>
  <si>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</si>
  <si>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</si>
  <si>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</si>
  <si>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</si>
  <si>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</si>
  <si>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</si>
  <si>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</si>
  <si>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</si>
  <si>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</si>
  <si>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</si>
  <si>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</si>
  <si>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</si>
  <si>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</si>
  <si>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</si>
  <si>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</si>
  <si>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</si>
  <si>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</si>
  <si>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</si>
  <si>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</si>
  <si>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</si>
  <si>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</si>
  <si>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</si>
  <si>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</si>
  <si>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</si>
  <si>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</si>
  <si>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</si>
  <si>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</si>
  <si>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</si>
  <si>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</si>
  <si>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</si>
  <si>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</si>
  <si>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</si>
  <si>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</si>
  <si>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</si>
  <si>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</si>
  <si>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</si>
  <si>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</si>
  <si>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</si>
  <si>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</si>
  <si>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</si>
  <si>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</si>
  <si>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</si>
  <si>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</si>
  <si>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</si>
  <si>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</si>
  <si>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</si>
  <si>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</si>
  <si>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</si>
  <si>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</si>
  <si>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</si>
  <si>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</si>
  <si>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</si>
  <si>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</si>
  <si>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</si>
  <si>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</si>
  <si>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</si>
  <si>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</si>
  <si>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</si>
  <si>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</si>
  <si>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</si>
  <si>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</si>
  <si>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</si>
  <si>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</si>
  <si>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</si>
  <si>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</si>
  <si>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</si>
  <si>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</si>
  <si>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</si>
  <si>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</si>
  <si>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</si>
  <si>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</si>
  <si>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</si>
  <si>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</si>
  <si>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</si>
  <si>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</si>
  <si>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</si>
  <si>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</si>
  <si>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</si>
  <si>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</si>
  <si>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</si>
  <si>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</si>
  <si>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</si>
  <si>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</si>
  <si>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</si>
  <si>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</si>
  <si>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</si>
  <si>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</si>
  <si>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</si>
  <si>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</si>
  <si>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</si>
  <si>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</si>
  <si>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</si>
  <si>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</si>
  <si>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</si>
  <si>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</si>
  <si>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</si>
  <si>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</si>
  <si>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</si>
  <si>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</si>
  <si>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</si>
  <si>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</si>
  <si>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</si>
  <si>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</si>
  <si>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</si>
  <si>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</si>
  <si>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</si>
  <si>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</si>
  <si>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</si>
  <si>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</si>
  <si>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</si>
  <si>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</si>
  <si>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</si>
  <si>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</si>
  <si>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</si>
  <si>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</si>
  <si>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</si>
  <si>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</si>
  <si>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</si>
  <si>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</si>
  <si>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</si>
  <si>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</si>
  <si>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</si>
  <si>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</si>
  <si>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</si>
  <si>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</si>
  <si>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</si>
  <si>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</si>
  <si>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</si>
  <si>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</si>
  <si>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</si>
  <si>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</si>
  <si>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</si>
  <si>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</si>
  <si>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</si>
  <si>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</si>
  <si>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</si>
  <si>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</si>
  <si>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</si>
  <si>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</si>
  <si>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</si>
  <si>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</si>
  <si>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</si>
  <si>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</si>
  <si>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</si>
  <si>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</si>
  <si>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</si>
  <si>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</si>
  <si>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</si>
  <si>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</si>
  <si>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</si>
  <si>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</si>
  <si>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</si>
  <si>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</si>
  <si>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</si>
  <si>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</si>
  <si>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</si>
  <si>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</si>
  <si>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</si>
  <si>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</si>
  <si>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</si>
  <si>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</si>
  <si>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</si>
  <si>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</si>
  <si>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</si>
  <si>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</si>
  <si>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</si>
  <si>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</si>
  <si>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</si>
  <si>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</si>
  <si>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</si>
  <si>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</si>
  <si>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</si>
  <si>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</si>
  <si>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</si>
  <si>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</si>
  <si>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</si>
  <si>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</si>
  <si>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</si>
  <si>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</si>
  <si>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</si>
  <si>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</si>
  <si>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</si>
  <si>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</si>
  <si>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</si>
  <si>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</si>
  <si>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</si>
  <si>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</si>
  <si>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</si>
  <si>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</si>
  <si>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</si>
  <si>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</si>
  <si>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</si>
  <si>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</si>
  <si>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</si>
  <si>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</si>
  <si>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</si>
  <si>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</si>
  <si>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</si>
  <si>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</si>
  <si>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</si>
  <si>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</si>
  <si>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</si>
  <si>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</si>
  <si>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</si>
  <si>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</si>
  <si>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</si>
  <si>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</si>
  <si>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</si>
  <si>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</si>
  <si>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</si>
  <si>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</si>
  <si>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</si>
  <si>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</si>
  <si>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</si>
  <si>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</si>
  <si>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</si>
  <si>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</si>
  <si>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</si>
  <si>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</si>
  <si>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</si>
  <si>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</si>
  <si>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</si>
  <si>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</si>
  <si>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</si>
  <si>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</si>
  <si>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</si>
  <si>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</si>
  <si>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</si>
  <si>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</si>
  <si>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</si>
  <si>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</si>
  <si>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</si>
  <si>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</si>
  <si>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</si>
  <si>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</si>
  <si>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</si>
  <si>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</si>
  <si>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</si>
  <si>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</si>
  <si>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</si>
  <si>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</si>
  <si>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</si>
  <si>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</si>
  <si>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</si>
  <si>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</si>
  <si>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</si>
  <si>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</si>
  <si>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</si>
  <si>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</si>
  <si>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</si>
  <si>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</si>
  <si>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</si>
  <si>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</si>
  <si>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</si>
  <si>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</si>
  <si>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</si>
  <si>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</si>
  <si>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</si>
  <si>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</si>
  <si>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</si>
  <si>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</si>
  <si>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</si>
  <si>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</si>
  <si>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</si>
  <si>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</si>
  <si>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</si>
  <si>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</si>
  <si>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</si>
  <si>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</si>
  <si>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</si>
  <si>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</si>
  <si>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</si>
  <si>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</si>
  <si>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</si>
  <si>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</si>
  <si>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</si>
  <si>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</si>
  <si>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</si>
  <si>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</si>
  <si>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</si>
  <si>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</si>
  <si>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</si>
  <si>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</si>
  <si>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</si>
  <si>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</si>
  <si>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</si>
  <si>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</si>
  <si>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</si>
  <si>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</si>
  <si>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</si>
  <si>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</si>
  <si>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</si>
  <si>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</si>
  <si>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</si>
  <si>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</si>
  <si>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</si>
  <si>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</si>
  <si>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</si>
  <si>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</si>
  <si>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</si>
  <si>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</si>
  <si>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</si>
  <si>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</si>
  <si>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</si>
  <si>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</si>
  <si>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</si>
  <si>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</si>
  <si>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</si>
  <si>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</si>
  <si>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</si>
  <si>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</si>
  <si>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</si>
  <si>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</si>
  <si>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</si>
  <si>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</si>
  <si>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</si>
  <si>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</si>
  <si>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</si>
  <si>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</si>
  <si>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</si>
  <si>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</si>
  <si>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</si>
  <si>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</si>
  <si>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</si>
  <si>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</si>
  <si>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</si>
  <si>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</si>
  <si>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</si>
  <si>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</si>
  <si>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</si>
  <si>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</si>
  <si>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</si>
  <si>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</si>
  <si>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</si>
  <si>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</si>
  <si>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</si>
  <si>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</si>
  <si>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</si>
  <si>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</si>
  <si>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</si>
  <si>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</si>
  <si>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</si>
  <si>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</si>
  <si>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</si>
  <si>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</si>
  <si>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</si>
  <si>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</si>
  <si>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</si>
  <si>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</si>
  <si>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</si>
  <si>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</si>
  <si>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</si>
  <si>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</si>
  <si>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</si>
  <si>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</si>
  <si>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</si>
  <si>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</si>
  <si>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</si>
  <si>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</si>
  <si>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</si>
  <si>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</si>
  <si>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</si>
  <si>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</si>
  <si>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</si>
  <si>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</si>
  <si>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</si>
  <si>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</si>
  <si>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</si>
  <si>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</si>
  <si>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</si>
  <si>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</si>
  <si>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</si>
  <si>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</si>
  <si>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</si>
  <si>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</si>
  <si>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</si>
  <si>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</si>
  <si>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</si>
  <si>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</si>
  <si>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</si>
  <si>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</si>
  <si>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</si>
  <si>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</si>
  <si>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</si>
  <si>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</si>
  <si>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</si>
  <si>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</si>
  <si>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</si>
  <si>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</si>
  <si>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</si>
  <si>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</si>
  <si>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</si>
  <si>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</si>
  <si>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</si>
  <si>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</si>
  <si>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</si>
  <si>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</si>
  <si>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</si>
  <si>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</si>
  <si>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</si>
  <si>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</si>
  <si>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</si>
  <si>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</si>
  <si>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</si>
  <si>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</si>
  <si>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</si>
  <si>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</si>
  <si>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</si>
  <si>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</si>
  <si>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</si>
  <si>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</si>
  <si>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</si>
  <si>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</si>
  <si>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</si>
  <si>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</si>
  <si>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</si>
  <si>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</si>
  <si>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</si>
  <si>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</si>
  <si>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</si>
  <si>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</si>
  <si>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</si>
  <si>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</si>
  <si>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</si>
  <si>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</si>
  <si>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</si>
  <si>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</si>
  <si>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</si>
  <si>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</si>
  <si>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</si>
  <si>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</si>
  <si>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</si>
  <si>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</si>
  <si>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</si>
  <si>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</si>
  <si>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</si>
  <si>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</si>
  <si>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</si>
  <si>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</si>
  <si>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</si>
  <si>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</si>
  <si>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</si>
  <si>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</si>
  <si>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</si>
  <si>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</si>
  <si>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</si>
  <si>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</si>
  <si>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</si>
  <si>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</si>
  <si>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</si>
  <si>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</si>
  <si>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</si>
  <si>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</si>
  <si>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</si>
  <si>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</si>
  <si>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</si>
  <si>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</si>
  <si>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</si>
  <si>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</si>
  <si>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</si>
  <si>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</si>
  <si>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</si>
  <si>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</si>
  <si>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</si>
  <si>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</si>
  <si>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</si>
  <si>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</si>
  <si>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</si>
  <si>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</si>
  <si>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</si>
  <si>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</si>
  <si>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</si>
  <si>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</si>
  <si>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</si>
  <si>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</si>
  <si>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</si>
  <si>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</si>
  <si>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</si>
  <si>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</si>
  <si>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</si>
  <si>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</si>
  <si>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</si>
  <si>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</si>
  <si>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</si>
  <si>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</si>
  <si>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</si>
  <si>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</si>
  <si>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</si>
  <si>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</si>
  <si>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</si>
  <si>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</si>
  <si>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</si>
  <si>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</si>
  <si>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</si>
  <si>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</si>
  <si>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</si>
  <si>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</si>
  <si>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</si>
  <si>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</si>
  <si>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</si>
  <si>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</si>
  <si>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</si>
  <si>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</si>
  <si>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</si>
  <si>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</si>
  <si>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</si>
  <si>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</si>
  <si>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</si>
  <si>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</si>
  <si>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</si>
  <si>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</si>
  <si>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</si>
  <si>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</si>
  <si>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</si>
  <si>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</si>
  <si>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</si>
  <si>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</si>
  <si>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</si>
  <si>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</si>
  <si>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</si>
  <si>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</si>
  <si>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</si>
  <si>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</si>
  <si>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</si>
  <si>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</si>
  <si>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</si>
  <si>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</si>
  <si>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</si>
  <si>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</si>
  <si>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</si>
  <si>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</si>
  <si>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</si>
  <si>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</si>
  <si>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</si>
  <si>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</si>
  <si>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</si>
  <si>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</si>
  <si>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</si>
  <si>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</si>
  <si>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</si>
  <si>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</si>
  <si>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</si>
  <si>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</si>
  <si>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</si>
  <si>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</si>
  <si>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</si>
  <si>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</si>
  <si>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</si>
  <si>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</si>
  <si>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</si>
  <si>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</si>
  <si>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</si>
  <si>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</si>
  <si>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</si>
  <si>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</si>
  <si>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</si>
  <si>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</si>
  <si>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</si>
  <si>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</si>
  <si>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</si>
  <si>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</si>
  <si>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</si>
  <si>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</si>
  <si>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</si>
  <si>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</si>
  <si>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</si>
  <si>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</si>
  <si>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</si>
  <si>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</si>
  <si>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</si>
  <si>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</si>
  <si>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</si>
  <si>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</si>
  <si>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</si>
  <si>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</si>
  <si>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</si>
  <si>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</si>
  <si>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</si>
  <si>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</si>
  <si>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</si>
  <si>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</si>
  <si>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</si>
  <si>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</si>
  <si>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</si>
  <si>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</si>
  <si>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</si>
  <si>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</si>
  <si>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</si>
  <si>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</si>
  <si>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</si>
  <si>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</si>
  <si>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</si>
  <si>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</si>
  <si>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</si>
  <si>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</si>
  <si>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</si>
  <si>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</si>
  <si>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</si>
  <si>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</si>
  <si>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</si>
  <si>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</si>
  <si>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</si>
  <si>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</si>
  <si>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</si>
  <si>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</si>
  <si>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</si>
  <si>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</si>
  <si>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</si>
  <si>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</si>
  <si>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</si>
  <si>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</si>
  <si>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</si>
  <si>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</si>
  <si>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</si>
  <si>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</si>
  <si>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</si>
  <si>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</si>
  <si>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</si>
  <si>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</si>
  <si>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</si>
  <si>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</si>
  <si>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</si>
  <si>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</si>
  <si>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</si>
  <si>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</si>
  <si>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</si>
  <si>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</si>
  <si>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</si>
  <si>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</si>
  <si>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</si>
  <si>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</si>
  <si>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</si>
  <si>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</si>
  <si>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</si>
  <si>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</si>
  <si>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</si>
  <si>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</si>
  <si>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</si>
  <si>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</si>
  <si>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</si>
  <si>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</si>
  <si>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</si>
  <si>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</si>
  <si>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</si>
  <si>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</si>
  <si>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</si>
  <si>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</si>
  <si>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</si>
  <si>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</si>
  <si>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</si>
  <si>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</si>
  <si>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</si>
  <si>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</si>
  <si>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</si>
  <si>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</si>
  <si>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</si>
  <si>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</si>
  <si>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</si>
  <si>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</si>
  <si>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</si>
  <si>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</si>
  <si>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</si>
  <si>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</si>
  <si>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</si>
  <si>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</si>
  <si>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</si>
  <si>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</si>
  <si>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</si>
  <si>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</si>
  <si>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</si>
  <si>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</si>
  <si>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</si>
  <si>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</si>
  <si>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</si>
  <si>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</si>
  <si>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</si>
  <si>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</si>
  <si>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</si>
  <si>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</si>
  <si>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</si>
  <si>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</si>
  <si>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</si>
  <si>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</si>
  <si>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</si>
  <si>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</si>
  <si>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</si>
  <si>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</si>
  <si>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</si>
  <si>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</si>
  <si>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</si>
  <si>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</si>
  <si>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</si>
  <si>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</si>
  <si>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</si>
  <si>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</si>
  <si>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</si>
  <si>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</si>
  <si>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</si>
  <si>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</si>
  <si>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</si>
  <si>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</si>
  <si>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</si>
  <si>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</si>
  <si>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</si>
  <si>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</si>
  <si>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</si>
  <si>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</si>
  <si>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</si>
  <si>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</si>
  <si>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</si>
  <si>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</si>
  <si>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</si>
  <si>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</si>
  <si>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</si>
  <si>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</si>
  <si>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</si>
  <si>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</si>
  <si>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</si>
  <si>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</si>
  <si>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</si>
  <si>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</si>
  <si>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</si>
  <si>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</si>
  <si>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</si>
  <si>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</si>
  <si>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</si>
  <si>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</si>
  <si>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</si>
  <si>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</si>
  <si>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</si>
  <si>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</si>
  <si>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</si>
  <si>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</si>
  <si>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</si>
  <si>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</si>
  <si>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</si>
  <si>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</si>
  <si>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</si>
  <si>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</si>
  <si>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</si>
  <si>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</si>
  <si>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</si>
  <si>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</si>
  <si>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</si>
  <si>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</si>
  <si>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</si>
  <si>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</si>
  <si>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</si>
  <si>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</si>
  <si>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</si>
  <si>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</si>
  <si>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</si>
  <si>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</si>
  <si>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</si>
  <si>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</si>
  <si>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</si>
  <si>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</si>
  <si>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</si>
  <si>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</si>
  <si>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</si>
  <si>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</si>
  <si>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</si>
  <si>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</si>
  <si>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</si>
  <si>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</si>
  <si>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</si>
  <si>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</si>
  <si>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</si>
  <si>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</si>
  <si>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</si>
  <si>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</si>
  <si>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</si>
  <si>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</si>
  <si>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</si>
  <si>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</si>
  <si>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</si>
  <si>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</si>
  <si>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</si>
  <si>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</si>
  <si>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</si>
  <si>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</si>
  <si>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</si>
  <si>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</si>
  <si>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</si>
  <si>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</si>
  <si>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</si>
  <si>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</si>
  <si>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</si>
  <si>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</si>
  <si>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</si>
  <si>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</si>
  <si>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</si>
  <si>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</si>
  <si>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</si>
  <si>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</si>
  <si>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</si>
  <si>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</si>
  <si>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</si>
  <si>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</si>
  <si>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</si>
  <si>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</si>
  <si>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</si>
  <si>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</si>
  <si>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</si>
  <si>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</si>
  <si>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</si>
  <si>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</si>
  <si>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</si>
  <si>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</si>
  <si>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</si>
  <si>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</si>
  <si>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</si>
  <si>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</si>
  <si>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</si>
  <si>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</si>
  <si>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</si>
  <si>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</si>
  <si>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</si>
  <si>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</si>
  <si>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</si>
  <si>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</si>
  <si>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</si>
  <si>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</si>
  <si>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</si>
  <si>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</si>
  <si>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</si>
  <si>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</si>
  <si>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</si>
  <si>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</si>
  <si>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</si>
  <si>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</si>
  <si>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</si>
  <si>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</si>
  <si>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</si>
  <si>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</si>
  <si>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</si>
  <si>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</si>
  <si>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</si>
  <si>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</si>
  <si>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</si>
  <si>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</si>
  <si>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</si>
  <si>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</si>
  <si>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</si>
  <si>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</si>
  <si>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</si>
  <si>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</si>
  <si>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</si>
  <si>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</si>
  <si>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</si>
  <si>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</si>
  <si>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</si>
  <si>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</si>
  <si>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</si>
  <si>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</si>
  <si>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</si>
  <si>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</si>
  <si>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</si>
  <si>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</si>
  <si>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</si>
  <si>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</si>
  <si>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</si>
  <si>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</si>
  <si>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</si>
  <si>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</si>
  <si>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</si>
  <si>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</si>
  <si>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</si>
  <si>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</si>
  <si>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</si>
  <si>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</si>
  <si>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</si>
  <si>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</si>
  <si>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</si>
  <si>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</si>
  <si>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</si>
  <si>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</si>
  <si>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</si>
  <si>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</si>
  <si>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</si>
  <si>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</si>
  <si>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</si>
  <si>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</si>
  <si>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</si>
  <si>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</si>
  <si>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</si>
  <si>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</si>
  <si>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</si>
  <si>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</si>
  <si>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</si>
  <si>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</si>
  <si>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</si>
  <si>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</si>
  <si>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</si>
  <si>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</si>
  <si>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</si>
  <si>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</si>
  <si>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</si>
  <si>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</si>
  <si>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</si>
  <si>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</si>
  <si>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</si>
  <si>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</si>
  <si>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</si>
  <si>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</si>
  <si>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</si>
  <si>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</si>
  <si>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</si>
  <si>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</si>
  <si>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</si>
  <si>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</si>
  <si>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</si>
  <si>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</si>
  <si>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</si>
  <si>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</si>
  <si>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</si>
  <si>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</si>
  <si>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</si>
  <si>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</si>
  <si>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</si>
  <si>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</si>
  <si>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</si>
  <si>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</si>
  <si>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</si>
  <si>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</si>
  <si>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</si>
  <si>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</si>
  <si>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</si>
  <si>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</si>
  <si>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</si>
  <si>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</si>
  <si>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</si>
  <si>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</si>
  <si>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</si>
  <si>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</si>
  <si>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</si>
  <si>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</si>
  <si>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</si>
  <si>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</si>
  <si>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</si>
  <si>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</si>
  <si>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</si>
  <si>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</si>
  <si>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</si>
  <si>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</si>
  <si>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</si>
  <si>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</si>
  <si>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</si>
  <si>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</si>
  <si>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</si>
  <si>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</si>
  <si>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</si>
  <si>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</si>
  <si>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</si>
  <si>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</si>
  <si>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</si>
  <si>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</si>
  <si>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</si>
  <si>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</si>
  <si>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</si>
  <si>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</si>
  <si>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</si>
  <si>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</si>
  <si>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</si>
  <si>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</si>
  <si>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</si>
  <si>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</si>
  <si>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</si>
  <si>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</si>
  <si>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</si>
  <si>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</si>
  <si>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</si>
  <si>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</si>
  <si>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</si>
  <si>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</si>
  <si>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</si>
  <si>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</si>
  <si>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</si>
  <si>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</si>
  <si>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</si>
  <si>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</si>
  <si>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</si>
  <si>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</si>
  <si>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</si>
  <si>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</si>
  <si>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</si>
  <si>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</si>
  <si>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</si>
  <si>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</si>
  <si>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</si>
  <si>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</si>
  <si>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</si>
  <si>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</si>
  <si>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</si>
  <si>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</si>
  <si>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</si>
  <si>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</si>
  <si>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</si>
  <si>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</si>
  <si>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</si>
  <si>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</si>
  <si>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</si>
  <si>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</si>
  <si>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</si>
  <si>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</si>
  <si>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</si>
  <si>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</si>
  <si>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</si>
  <si>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</si>
  <si>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</si>
  <si>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</si>
  <si>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</si>
  <si>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</si>
  <si>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</si>
  <si>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</si>
  <si>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</si>
  <si>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</si>
  <si>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</si>
  <si>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</si>
  <si>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</si>
  <si>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</si>
  <si>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</si>
  <si>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</si>
  <si>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</si>
  <si>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</si>
  <si>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</si>
  <si>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</si>
  <si>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</si>
  <si>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</si>
  <si>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</si>
  <si>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</si>
  <si>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</si>
  <si>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</si>
  <si>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</si>
  <si>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</si>
  <si>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</si>
  <si>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</si>
  <si>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</si>
  <si>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</si>
  <si>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</si>
  <si>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</si>
  <si>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</si>
  <si>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</si>
  <si>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</si>
  <si>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</si>
  <si>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</si>
  <si>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</si>
  <si>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</si>
  <si>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</si>
  <si>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</si>
  <si>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</si>
  <si>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</si>
  <si>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</si>
  <si>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</si>
  <si>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</si>
  <si>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</si>
  <si>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</si>
  <si>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</si>
  <si>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</si>
  <si>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</si>
  <si>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</si>
  <si>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</si>
  <si>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</si>
  <si>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</si>
  <si>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</si>
  <si>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</si>
  <si>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</si>
  <si>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</si>
  <si>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</si>
  <si>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</si>
  <si>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</si>
  <si>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</si>
  <si>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</si>
  <si>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</si>
  <si>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</si>
  <si>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</si>
  <si>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</si>
  <si>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</si>
  <si>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</si>
  <si>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</si>
  <si>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</si>
  <si>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</si>
  <si>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</si>
  <si>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</si>
  <si>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</si>
  <si>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</si>
  <si>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</si>
  <si>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</si>
  <si>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</si>
  <si>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</si>
  <si>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</si>
  <si>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</si>
  <si>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</si>
  <si>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</si>
  <si>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</si>
  <si>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</si>
  <si>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</si>
  <si>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</si>
  <si>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</si>
  <si>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</si>
  <si>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</si>
  <si>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</si>
  <si>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</si>
  <si>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</si>
  <si>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</si>
  <si>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</si>
  <si>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</si>
  <si>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</si>
  <si>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</si>
  <si>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</si>
  <si>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</si>
  <si>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</si>
  <si>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</si>
  <si>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</si>
  <si>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</si>
  <si>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</si>
  <si>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</si>
  <si>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</si>
  <si>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</si>
  <si>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</si>
  <si>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</si>
  <si>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</si>
  <si>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</si>
  <si>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</si>
  <si>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</si>
  <si>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</si>
  <si>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</si>
  <si>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</si>
  <si>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</si>
  <si>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</si>
  <si>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</si>
  <si>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</si>
  <si>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</si>
  <si>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</si>
  <si>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</si>
  <si>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</si>
  <si>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</si>
  <si>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</si>
  <si>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</si>
  <si>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</si>
  <si>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</si>
  <si>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</si>
  <si>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</si>
  <si>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</si>
  <si>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</si>
  <si>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</si>
  <si>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</si>
  <si>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</si>
  <si>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</si>
  <si>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</si>
  <si>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</si>
  <si>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</si>
  <si>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</si>
  <si>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</si>
  <si>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</si>
  <si>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</si>
  <si>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</si>
  <si>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</si>
  <si>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</si>
  <si>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</si>
  <si>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</si>
  <si>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</si>
  <si>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</si>
  <si>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</si>
  <si>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</si>
  <si>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</si>
  <si>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</si>
  <si>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</si>
  <si>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</si>
  <si>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</si>
  <si>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</si>
  <si>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</si>
  <si>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</si>
  <si>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</si>
  <si>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</si>
  <si>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</si>
  <si>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</si>
  <si>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</si>
  <si>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</si>
  <si>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</si>
  <si>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</si>
  <si>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</si>
  <si>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</si>
  <si>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</si>
  <si>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</si>
  <si>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</si>
  <si>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</si>
  <si>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</si>
  <si>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</si>
  <si>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</si>
  <si>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</si>
  <si>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</si>
  <si>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</si>
  <si>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</si>
  <si>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</si>
  <si>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</si>
  <si>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</si>
  <si>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</si>
  <si>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</si>
  <si>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</si>
  <si>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</si>
  <si>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</si>
  <si>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</si>
  <si>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</si>
  <si>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</si>
  <si>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</si>
  <si>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</si>
  <si>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</si>
  <si>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</si>
  <si>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</si>
  <si>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</si>
  <si>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</si>
  <si>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</si>
  <si>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</si>
  <si>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</si>
  <si>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</si>
  <si>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</si>
  <si>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</si>
  <si>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</si>
  <si>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</si>
  <si>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</si>
  <si>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</si>
  <si>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</si>
  <si>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</si>
  <si>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</si>
  <si>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</si>
  <si>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</si>
  <si>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</si>
  <si>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</si>
  <si>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</si>
  <si>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</si>
  <si>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</si>
  <si>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</si>
  <si>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</si>
  <si>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</si>
  <si>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</si>
  <si>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</si>
  <si>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</si>
  <si>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</si>
  <si>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</si>
  <si>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</si>
  <si>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</si>
  <si>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</si>
  <si>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</si>
  <si>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</si>
  <si>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</si>
  <si>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</si>
  <si>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</si>
  <si>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</si>
  <si>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</si>
  <si>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</si>
  <si>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</si>
  <si>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</si>
  <si>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</si>
  <si>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</si>
  <si>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</si>
  <si>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</si>
  <si>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</si>
  <si>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</si>
  <si>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</si>
  <si>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</si>
  <si>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</si>
  <si>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</si>
  <si>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</si>
  <si>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</si>
  <si>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</si>
  <si>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</si>
  <si>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</si>
  <si>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</si>
  <si>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</si>
  <si>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</si>
  <si>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</si>
  <si>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</si>
  <si>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</si>
  <si>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</si>
  <si>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</si>
  <si>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</si>
  <si>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</si>
  <si>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</si>
  <si>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</si>
  <si>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</si>
  <si>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</si>
  <si>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</si>
  <si>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</si>
  <si>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</si>
  <si>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</si>
  <si>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</si>
  <si>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</si>
  <si>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</si>
  <si>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</si>
  <si>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</si>
  <si>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</si>
  <si>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</si>
  <si>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</si>
  <si>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</si>
  <si>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</si>
  <si>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</si>
  <si>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</si>
  <si>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</si>
  <si>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</si>
  <si>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</si>
  <si>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</si>
  <si>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</si>
  <si>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</si>
  <si>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</si>
  <si>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</si>
  <si>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</si>
  <si>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</si>
  <si>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</si>
  <si>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</si>
  <si>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</si>
  <si>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</si>
  <si>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</si>
  <si>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</si>
  <si>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</si>
  <si>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</si>
  <si>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</si>
  <si>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</si>
  <si>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</si>
  <si>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</si>
  <si>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</si>
  <si>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</si>
  <si>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</si>
  <si>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</si>
  <si>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</si>
  <si>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</si>
  <si>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</si>
  <si>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</si>
  <si>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</si>
  <si>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</si>
  <si>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</si>
  <si>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</si>
  <si>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</si>
  <si>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</si>
  <si>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</si>
  <si>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</si>
  <si>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</si>
  <si>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</si>
  <si>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</si>
  <si>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</si>
  <si>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</si>
  <si>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</si>
  <si>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</si>
  <si>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</si>
  <si>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</si>
  <si>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</si>
  <si>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</si>
  <si>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</si>
  <si>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</si>
  <si>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</si>
  <si>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</si>
  <si>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</si>
  <si>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</si>
  <si>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</si>
  <si>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</si>
  <si>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</si>
  <si>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</si>
  <si>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</si>
  <si>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</si>
  <si>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</si>
  <si>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</si>
  <si>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</si>
  <si>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</si>
  <si>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</si>
  <si>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</si>
  <si>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</si>
  <si>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</si>
  <si>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</si>
  <si>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</si>
  <si>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</si>
  <si>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</si>
  <si>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</si>
  <si>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</si>
  <si>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</si>
  <si>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</si>
  <si>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</si>
  <si>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</si>
  <si>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</si>
  <si>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</si>
  <si>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</si>
  <si>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</si>
  <si>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</si>
  <si>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</si>
  <si>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</si>
  <si>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</si>
  <si>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</si>
  <si>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</si>
  <si>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</si>
  <si>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</si>
  <si>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</si>
  <si>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</si>
  <si>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</si>
  <si>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</si>
  <si>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</si>
  <si>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</si>
  <si>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</si>
  <si>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</si>
  <si>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</si>
  <si>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</si>
  <si>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</si>
  <si>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</si>
  <si>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</si>
  <si>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</si>
  <si>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</si>
  <si>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</si>
  <si>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</si>
  <si>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</si>
  <si>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</si>
  <si>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</si>
  <si>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</si>
  <si>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</si>
  <si>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</si>
  <si>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</si>
  <si>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</si>
  <si>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</si>
  <si>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</si>
  <si>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</si>
  <si>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</si>
  <si>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</si>
  <si>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</si>
  <si>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</si>
  <si>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</si>
  <si>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</si>
  <si>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</si>
  <si>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</si>
  <si>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</si>
  <si>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</si>
  <si>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</si>
  <si>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</si>
  <si>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</si>
  <si>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</si>
  <si>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</si>
  <si>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</si>
  <si>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</si>
  <si>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</si>
  <si>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</si>
  <si>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</si>
  <si>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</si>
  <si>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</si>
  <si>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</si>
  <si>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</si>
  <si>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</si>
  <si>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</si>
  <si>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</si>
  <si>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</si>
  <si>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</si>
  <si>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</si>
  <si>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</si>
  <si>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</si>
  <si>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</si>
  <si>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</si>
  <si>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</si>
  <si>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</si>
  <si>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</si>
  <si>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</si>
  <si>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</si>
  <si>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</si>
  <si>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</si>
  <si>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</si>
  <si>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</si>
  <si>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</si>
  <si>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</si>
  <si>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</si>
  <si>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</si>
  <si>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</si>
  <si>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</si>
  <si>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</si>
  <si>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</si>
  <si>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</si>
  <si>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</si>
  <si>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</si>
  <si>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</si>
  <si>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</si>
  <si>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</si>
  <si>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</si>
  <si>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</si>
  <si>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</si>
  <si>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</si>
  <si>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</si>
  <si>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</si>
  <si>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</si>
  <si>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</si>
  <si>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</si>
  <si>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</si>
  <si>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</si>
  <si>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</si>
  <si>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</si>
  <si>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</si>
  <si>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</si>
  <si>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</si>
  <si>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</si>
  <si>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</si>
  <si>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</si>
  <si>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</si>
  <si>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</si>
  <si>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</si>
  <si>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</si>
  <si>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</si>
  <si>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</si>
  <si>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</si>
  <si>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</si>
  <si>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</si>
  <si>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</si>
  <si>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</si>
  <si>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</si>
  <si>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</si>
  <si>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</si>
  <si>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</si>
  <si>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</si>
  <si>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</si>
  <si>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</si>
  <si>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</si>
  <si>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</si>
  <si>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</si>
  <si>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</si>
  <si>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</si>
  <si>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</si>
  <si>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</si>
  <si>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</si>
  <si>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</si>
  <si>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</si>
  <si>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</si>
  <si>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</si>
  <si>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</si>
  <si>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</si>
  <si>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</si>
  <si>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</si>
  <si>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</si>
  <si>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</si>
  <si>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</si>
  <si>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</si>
  <si>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</si>
  <si>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</si>
  <si>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</si>
  <si>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</si>
  <si>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</si>
  <si>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</si>
  <si>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</si>
  <si>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</si>
  <si>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</si>
  <si>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</si>
  <si>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</si>
  <si>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</si>
  <si>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</si>
  <si>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</si>
  <si>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</si>
  <si>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</si>
  <si>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</si>
  <si>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</si>
  <si>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</si>
  <si>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</si>
  <si>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</si>
  <si>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</si>
  <si>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</si>
  <si>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</si>
  <si>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</si>
  <si>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</si>
  <si>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</si>
  <si>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</si>
  <si>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</si>
  <si>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</si>
  <si>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</si>
  <si>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</si>
  <si>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</si>
  <si>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</si>
  <si>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</si>
  <si>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</si>
  <si>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</si>
  <si>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</si>
  <si>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</si>
  <si>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</si>
  <si>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</si>
  <si>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</si>
  <si>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</si>
  <si>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</si>
  <si>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</si>
  <si>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</si>
  <si>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</si>
  <si>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</si>
  <si>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</si>
  <si>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</si>
  <si>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</si>
  <si>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</si>
  <si>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</si>
  <si>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</si>
  <si>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</si>
  <si>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</si>
  <si>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</si>
  <si>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</si>
  <si>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</si>
  <si>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</si>
  <si>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</si>
  <si>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</si>
  <si>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</si>
  <si>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</si>
  <si>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</si>
  <si>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</si>
  <si>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</si>
  <si>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</si>
  <si>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</si>
  <si>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</si>
  <si>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</si>
  <si>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</si>
  <si>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</si>
  <si>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</si>
  <si>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</si>
  <si>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</si>
  <si>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</si>
  <si>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</si>
  <si>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</si>
  <si>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</si>
  <si>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</si>
  <si>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</si>
  <si>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</si>
  <si>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</si>
  <si>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</si>
  <si>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</si>
  <si>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</si>
  <si>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</si>
  <si>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</si>
  <si>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</si>
  <si>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</si>
  <si>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</si>
  <si>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</si>
  <si>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</si>
  <si>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</si>
  <si>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</si>
  <si>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</si>
  <si>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</si>
  <si>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</si>
  <si>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</si>
  <si>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</si>
  <si>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</si>
  <si>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</si>
  <si>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</si>
  <si>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</si>
  <si>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</si>
  <si>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</si>
  <si>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</si>
  <si>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</si>
  <si>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</si>
  <si>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</si>
  <si>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</si>
  <si>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</si>
  <si>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</si>
  <si>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</si>
  <si>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</si>
  <si>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</si>
  <si>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</si>
  <si>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</si>
  <si>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</si>
  <si>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</si>
  <si>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</si>
  <si>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</si>
  <si>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</si>
  <si>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</si>
  <si>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</si>
  <si>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</si>
  <si>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</si>
  <si>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</si>
  <si>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</si>
  <si>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</si>
  <si>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</si>
  <si>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</si>
  <si>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</si>
  <si>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</si>
  <si>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</si>
  <si>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</si>
  <si>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</si>
  <si>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</si>
  <si>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</si>
  <si>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</si>
  <si>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</si>
  <si>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</si>
  <si>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</si>
  <si>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</si>
  <si>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</si>
  <si>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</si>
  <si>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</si>
  <si>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</si>
  <si>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</si>
  <si>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</si>
  <si>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</si>
  <si>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</si>
  <si>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</si>
  <si>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</si>
  <si>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</si>
  <si>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</si>
  <si>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</si>
  <si>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</si>
  <si>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</si>
  <si>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</si>
  <si>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</si>
  <si>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</si>
  <si>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</si>
  <si>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</si>
  <si>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</si>
  <si>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</si>
  <si>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</si>
  <si>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</si>
  <si>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</si>
  <si>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</si>
  <si>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</si>
  <si>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Vantage Development</t>
  </si>
  <si>
    <t>Jay B. Ronca</t>
  </si>
  <si>
    <t>1544 S. Main Street</t>
  </si>
  <si>
    <t>Fyffe</t>
  </si>
  <si>
    <t>jronca@thevantagegroup.biz</t>
  </si>
  <si>
    <t>lbarron@thevantagegroup.biz</t>
  </si>
  <si>
    <t>http://www.bleckley.org/</t>
  </si>
  <si>
    <t>Direct</t>
  </si>
  <si>
    <t>Indirect</t>
  </si>
  <si>
    <t>The Pointe at St. Martin</t>
  </si>
  <si>
    <t>Lowell R. Barron II</t>
  </si>
  <si>
    <t>President of GP</t>
  </si>
  <si>
    <t>To Be Applied For</t>
  </si>
  <si>
    <t>For Profit</t>
  </si>
  <si>
    <t>Birmingham</t>
  </si>
  <si>
    <t>To Be Determined - Monarch Private Capital, LLC</t>
  </si>
  <si>
    <t>Brent Hannah</t>
  </si>
  <si>
    <t>3414 Peachtree Road, Suite 825</t>
  </si>
  <si>
    <t>Director of Acquisitions</t>
  </si>
  <si>
    <t>www.monarchprivate.com</t>
  </si>
  <si>
    <t>bhannah@monarchprivate.com</t>
  </si>
  <si>
    <t>Vantage Development, LLC</t>
  </si>
  <si>
    <t>www.thevantagegroup.biz</t>
  </si>
  <si>
    <t>Fyffe Construction Company, Inc.</t>
  </si>
  <si>
    <t>President</t>
  </si>
  <si>
    <t xml:space="preserve">Fyffe  </t>
  </si>
  <si>
    <t>www.fyffeconstruction.com</t>
  </si>
  <si>
    <t>Vantage Management, LLC</t>
  </si>
  <si>
    <t>Balch &amp; Bingham, LLP</t>
  </si>
  <si>
    <t>Lee Johnsey</t>
  </si>
  <si>
    <t>1901 Sixth Avenue North</t>
  </si>
  <si>
    <t>Partner</t>
  </si>
  <si>
    <t>www.balch.com</t>
  </si>
  <si>
    <t>ljohnsey@balch.com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</si>
  <si>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</si>
  <si>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</si>
  <si>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</si>
  <si>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</si>
  <si>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</si>
  <si>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</si>
  <si>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</si>
  <si>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</si>
  <si>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</si>
  <si>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</si>
  <si>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</si>
  <si>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www.wallacearchitects.com</t>
  </si>
  <si>
    <t>mikek@wallacearchitects.com</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</si>
  <si>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t>
  </si>
  <si>
    <t>1st year premium must be paid up-front and the development will not have funds from operations to cover the cost at that time thus it is included in the development budget.</t>
  </si>
  <si>
    <t>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t>
  </si>
  <si>
    <t>Electric Heat Pump</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</si>
  <si>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</si>
  <si>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Agree</t>
  </si>
  <si>
    <t>Disagree</t>
  </si>
  <si>
    <t>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t>
  </si>
  <si>
    <t>John Wall and Associates</t>
  </si>
  <si>
    <t>An appraisal is not required as there is not an identity of interest between the buyer and seller of the property; therefore, an appraisal has not been done at this time.</t>
  </si>
  <si>
    <t>United Consulting</t>
  </si>
  <si>
    <t>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t>
  </si>
  <si>
    <t>Ground lease/Option</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</si>
  <si>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</si>
  <si>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N/Ap</t>
  </si>
  <si>
    <t>Currently the site is bordered by two (2) major paved roads. Photos of the paved roads and descriptions are located in Tab 9. Site Access</t>
  </si>
  <si>
    <t>Building</t>
  </si>
  <si>
    <t>Covered Porch</t>
  </si>
  <si>
    <t>Yes - W&amp;D hookups installed in each unit</t>
  </si>
  <si>
    <t>On-site laundry</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</si>
  <si>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</si>
  <si>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t>
  </si>
  <si>
    <t>This project is a new contruction; therefore, A. Constructed and Rehabilitation Construction Hard Costs is N/A. The applicant is not proposing additional design options; therefore, part C. has also been left blank.</t>
  </si>
  <si>
    <t xml:space="preserve">During the pre-application determination the Certifying GP and Developer were deemed "Qualified". There have not been any changes to the project team since the pre-application submission. </t>
  </si>
  <si>
    <t>The applicant does not wish to compete under the Rural HOME Preservation Set-Aside.</t>
  </si>
  <si>
    <t>The applicant is not a CHDO and is not competing under the CHDO set-aside</t>
  </si>
  <si>
    <t>The proposed site is currently vacant; therefore, relocation will not be necessary.</t>
  </si>
  <si>
    <t xml:space="preserve">If selected the applicant agrees to adhere to the AFFH Marketing plan that meets all of the above criteria and strategies.  </t>
  </si>
  <si>
    <t>Funding of this development will not result in a waste of DCA resources. Additionally, it should be noted that none of the Project Team members have made conditional promises or financial commitments to the Local Government in order to obtain support.</t>
  </si>
  <si>
    <t>N/a</t>
  </si>
  <si>
    <t>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t>
  </si>
  <si>
    <t>All Things Are Possible After School &amp; Family Resource Center</t>
  </si>
  <si>
    <t>Garden Design and Maintenance</t>
  </si>
  <si>
    <t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t>
  </si>
  <si>
    <t>Healthy Food Preparation</t>
  </si>
  <si>
    <t xml:space="preserve">Work with residents to share healthy recipes using accessible foods and vegetables grown in the community garden. Invite residents to share with the group their favorite healthy recipes and demonstrate in a cooking class setting. </t>
  </si>
  <si>
    <t>Access to Healthy Food Options</t>
  </si>
  <si>
    <t xml:space="preserve">Partner with local food banks and cooperatives to assist qualified residents with option for food security. Teach residents how to can vegetables (in conjuction with the Community Garden) for later use and provide a platform for a community canning event. </t>
  </si>
  <si>
    <t>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t>
  </si>
  <si>
    <t>Middle</t>
  </si>
  <si>
    <t>The development is not a phased development; therefore, XIII.A. is N/Ap.</t>
  </si>
  <si>
    <t>&lt;&lt;Select previous Application Type&gt;&gt;</t>
  </si>
  <si>
    <t>310 Ridge Road</t>
  </si>
  <si>
    <t>City Limits</t>
  </si>
  <si>
    <t>9605</t>
  </si>
  <si>
    <t>Hartwell Police Department</t>
  </si>
  <si>
    <t>Brandon Johnson</t>
  </si>
  <si>
    <t>Mayor</t>
  </si>
  <si>
    <t>bwjohnson83@yahoo.com</t>
  </si>
  <si>
    <t>DCA Northern Region - Low-rise Apartements</t>
  </si>
  <si>
    <t>2-Story Walkup</t>
  </si>
  <si>
    <t>The proposal is for 60 multifamily units in Hartwell, Georgia and the total development cost is below the maximum allowed total development cost for the applicable area.</t>
  </si>
  <si>
    <t>The Pointe at St. Martin, LP</t>
  </si>
  <si>
    <t xml:space="preserve">A letter confirming appropriate zoning was obtained from the City Manager of the City of Hartwell. The corresponding pages from the city zoning ordinance is also included. </t>
  </si>
  <si>
    <t>Hart Electric Membership Corporation</t>
  </si>
  <si>
    <t xml:space="preserve">A letter stating that Hart Electric Membership Corporation has the ability and capacity to serve the development for electricity has been included in the application. </t>
  </si>
  <si>
    <t>The City of Hartwell</t>
  </si>
  <si>
    <t>Water and sewer services are available to the site. The provider for water and sewer is the City of Hartwell. They provided a letter of availability for both services at The Pointe at St. Martin.</t>
  </si>
  <si>
    <t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t>
  </si>
  <si>
    <t>lisaevans@hartcountyga.gov</t>
  </si>
  <si>
    <t>hartcountyga.gov/publictransit.html</t>
  </si>
  <si>
    <t xml:space="preserve">The Hart County Public Transit System will be providing transport for all residents of The Pointe at St. Martin. </t>
  </si>
  <si>
    <t xml:space="preserve">The Pointe at St. Martin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t>
  </si>
  <si>
    <t>Hartwell Elementary School</t>
  </si>
  <si>
    <t>Hart County Middle School</t>
  </si>
  <si>
    <t>Hart County High School</t>
  </si>
  <si>
    <t>PreK-5</t>
  </si>
  <si>
    <t>Hart County School District</t>
  </si>
  <si>
    <t xml:space="preserve">Hartwell Elemenarty is the only scool that is zoned for the proposed development site that scores above the CCRPI state average.  We have included a letter confirming the applicable school districts for the proposed site. The site exceeds the minimum jobs threshold by 32%. Therefore, we are claiming 1 point. </t>
  </si>
  <si>
    <t xml:space="preserve">Documenation supporting the Low-Poverty Communities has been included in the application. This site is eligible for 1 point in the Enterprise Community Partners Opportunity 360 section of IX. Stable Communities. </t>
  </si>
  <si>
    <t>Hartwell GICH Team</t>
  </si>
  <si>
    <t xml:space="preserve">We have received a letter of support from the primary contact from the Hartwell GICH Team for The Pointe at St. Martin. We have also received the letter of support from the Mayor of Hartwell in support of the development. </t>
  </si>
  <si>
    <t>456 East Howell Street #2194</t>
  </si>
  <si>
    <t>Pecan Ridge Townhomes, LLC</t>
  </si>
  <si>
    <t>Warren Hershberger</t>
  </si>
  <si>
    <t>353 Eastern Road</t>
  </si>
  <si>
    <t>ridgeonehomes@yahoo.com</t>
  </si>
  <si>
    <t>TBD - 42 Equity</t>
  </si>
  <si>
    <t>TBD - Monarch (incl'd 1% Fed.)</t>
  </si>
  <si>
    <t>United Bank</t>
  </si>
  <si>
    <t>Amortizing</t>
  </si>
  <si>
    <t>1st Year Perm Insurance</t>
  </si>
  <si>
    <t>State Boost</t>
  </si>
  <si>
    <t>Multifamily Rural projects w/out DCA HOME</t>
  </si>
  <si>
    <t xml:space="preserve">This amount has not been included in basis. </t>
  </si>
  <si>
    <t>Other (Cable/Internet)</t>
  </si>
  <si>
    <t>Other (Unit Cleaning)</t>
  </si>
  <si>
    <t>Other (Business License)</t>
  </si>
  <si>
    <t>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t>
  </si>
  <si>
    <t>To Be Determined - 42 Equity Partners, LLC</t>
  </si>
  <si>
    <t>2660 EastChase Lane, Suite 100</t>
  </si>
  <si>
    <t>Constantine Chigounis</t>
  </si>
  <si>
    <t>Managing Director</t>
  </si>
  <si>
    <t>c.chigounis@42equity.com</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</si>
  <si>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There is no deferred developer fee. All preliminary commitments for financing have been submitted with the application. There is no existing debt on this project. Unit count, bedroom type, rent structure, and operating expenses for this proposed project are firm.</t>
  </si>
  <si>
    <t xml:space="preserve">The proposed development consists of 60 units that are consistent with the characterisitcs of the community and targeting families with a focus on community activities from within the neighborhood. </t>
  </si>
  <si>
    <t>This is a New Construction project; therefore, this section for Rehabilitation does not apply.</t>
  </si>
  <si>
    <t>Hart County Public Transit</t>
  </si>
  <si>
    <t>The proposed site does not have either of the Community Designations listed above; therefore, XI is N/Ap</t>
  </si>
  <si>
    <t xml:space="preserve">The applicant has claimed 4 points above. If funded, this development would be only the second LIHTC development to be funded in the City of Hartwell political jurisdiction. In the 2007 funding round, Juniper Court (2007-043) was funded in the County of Hart. It was confirmed by the core application that this development was outside of the Hartwell city limits and solely in the boundaries of the county. The development has since been annexed into the city. The only other develolment that has been funded that is in the city limits of Hartwell is Chandler Trace (2017-069). Therefore, we are claiming 4 points in XIII. PREVIOUS POINTS since the City of Hartwell has only received one (1) 9% credit award in the last 15 DCA Housing Credit Competitive Rounds. </t>
  </si>
  <si>
    <t xml:space="preserve">Section XVIII. Historic Preservation is not applicable. </t>
  </si>
  <si>
    <t>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Pointe at St. Martin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t>
  </si>
  <si>
    <t xml:space="preserve">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 The commitment included within the application is from United Bank which is a commecial bank. Per the DCA Q&amp;A dated 2-27-20, "a commercial bank is an elegible lender/grantor under scoring item #10 so long as all requirements listed under Section XVI. Favorable Financing are met." </t>
  </si>
  <si>
    <t xml:space="preserve">There are no undesirable amentities near the proposed site. There are a total of 15 desirable sites within two miles of the proposed site. There are two desirable amenities within .5 mile (medical care provider and a restaurant) and 13 desirable amenities greater than .5 mile but less than two miles (big box, retail, grocery store, pharmacy, school, town square, rec center, public park, public library, fire station, bank, and post office) from the proposed site. There is not a licensed day care service within two miles of the proposed property; therefore, it was not selected on the desirable activiites worksheet and a license is not provided as evidence. </t>
  </si>
  <si>
    <t xml:space="preserve">              The Pointe at St. Martin will be located on a +/- 8-acre site inside the city limits of Hartwell in Hart County, Georgia. The site is convenient to numerous desirable amenities and activities while maintaining a peaceful, rural seeming atmosphere. The site is in an area of larger lot single-family homes, multi-family developments and vacant land.  The site is well-located with regard to neighborhood amenities, both point eligible and non-point eligible.  The Pointe at St. Martin will maintain the community’s character and provide much needed affordable housing to the community. The proposal is for 60 multi-family units comprised of 8 one-bedroom units, 36 two-bedroom units and 16 three-bedroom units.  The Pointe will provide decent, safe, attractive, well-located affordable housing for low to moderate income families in the Hartwell area of Hart County. 
     	The proposed development is located less than 2 (two) miles from the quaint and quiet downtown area of Hartwell. Hartwell is home to Lake Hartwell and located in the northeast Georgia on the Georgia-South Carolina line. It has access to a number of desirable amenities, such as but not limited to, departments stores, restaurants, doctor's offices, pharmacies, high scoring schools, municipal offices, and places of worship. The area also offers a host of local activities, such as camping, parks, and museums. Hartwell has many historic sites and areas within the city. There are seasonal festivals in Hartwell, including Dancing on Depot, ARTS in Hartwell Festival, Antique Boat Festival, Annual Lake Hartwell Dam Run, and the Spring Fever Regatta, and many more. 
     	The development's onsite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Pointe at St. Martin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Hartwell Elementary School is located 1.2 miles from the proposed development and has an average CCRPI score of 76.13. Hart County Middle School is located .8 miles from the proposed development and has an average CCRPI score of 72.03. Hart County High School is located 1.1 miles from the proposed development and has an average CCRPI score of 71.6.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Terrace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City of Hartwell is a certified GICH participant. The City’s GICH Initiatives align with the initiatives of The Pointe at St. Martin. In a collaborative effort to bring decent, safe, and affordable housing to the City of Hartwell, the GICH Team has issued a letter of support to the development, executed by Michelle Wetherbee, GICH Primary Contact, City of Hartwell. In addition to the letter of support from the GICH Team, the development has also received a letter of support from the local government in Hartwell. This letter was executed by Brandon Johnson, Mayor of Hartwell, GA. 
     	The Pointe at St. Martin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Pointe at St. Martin will be performed by Fyffe Construction Company, Inc. and Vantage Management, LLC, respectively, and both companies are owned by Lowell R. Barron, II. By offering amiable amenities, engaging activities, and affordable rents The Pointe at St. Martin will meet a critical need for the citizens of Hartwell, GA.</t>
  </si>
  <si>
    <t>TBD - United Bank</t>
  </si>
  <si>
    <t>NAHPA, Inc. (Nat'l Aff Hsg Pres Associates, Inc.)</t>
  </si>
  <si>
    <t>Mark E. English</t>
  </si>
  <si>
    <t>President of General Partner</t>
  </si>
  <si>
    <t>2020PA-062</t>
  </si>
  <si>
    <t>100 Towncenter Blvd. Suite 300</t>
  </si>
  <si>
    <t>Tuscaloosa</t>
  </si>
  <si>
    <t>mark@nahpa.org</t>
  </si>
  <si>
    <t>Vice President of Consultant</t>
  </si>
  <si>
    <t>1 The Crest at Hastings, LP</t>
  </si>
  <si>
    <t>The Crest at Hastings</t>
  </si>
  <si>
    <t>7 Nat'l Afford Housing Preserve Assoc Inc.</t>
  </si>
  <si>
    <t>2 NAHPA 2018 GA, Inc.</t>
  </si>
  <si>
    <t>8 NAHPA Development, LLC</t>
  </si>
  <si>
    <t>3 Nat'l Afford Housing Preserve Assoc Inc.</t>
  </si>
  <si>
    <t>4 NAHPA Development, LLC</t>
  </si>
  <si>
    <t>5 The Pointe at St. Martin, LP</t>
  </si>
  <si>
    <t>6 NAHPA 2018 GA, Inc.</t>
  </si>
  <si>
    <t xml:space="preserve">     Owner commits to the extension of the cancellation option for 5 years. We expect the placed in service date to be on or before 12/31/2022.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t>
  </si>
  <si>
    <t>NAHPA 2018 GA, Inc.</t>
  </si>
  <si>
    <t>National Affordable Housing Preservation Associates, Inc. (NAHPA, Inc.)</t>
  </si>
  <si>
    <t>www.nahpa.org</t>
  </si>
  <si>
    <t>NAHPA Development, LLC</t>
  </si>
  <si>
    <t>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</si>
  <si>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Other - Owner and Developer / Consultant and Contractor and Mgr</t>
  </si>
  <si>
    <t>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</si>
  <si>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</si>
  <si>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</si>
  <si>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National Affordable Housing Preservation Associates, Inc.</t>
  </si>
  <si>
    <t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Crest at Hastings, LP.  NAHPA 2018 GA, Inc. is wholly owned by National Affordable Housing Preservation Associates, Inc. a 501(c)3 nonprofit. A nonprofit opinion letter and the development agreement and with all exhibits have been included. </t>
  </si>
  <si>
    <t>A non-profit legal opinion has been included with tab 21.</t>
  </si>
  <si>
    <t xml:space="preserve">The applicant has set aside a total of 8 one-bedroom units to be designated for 811 assistance. The application does not have a commitment of HUD Section 8 project-based rental assistance. </t>
  </si>
  <si>
    <t>All sources and uses are verifiable. Commitments for the above listed financing are located in Tab 01: Feasibility. Please note that there will be no shortfall of funding during construction. 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t>
  </si>
  <si>
    <t>Please note that there are no debt service payment amounts that deviate from the amount shown in Permanent Sources (Part III). Additionally, a combine asset management fee of $5,000 annually is shown as the commitment letter from 42 Equity required $3,000 while the letter from Monarch required $2,000 annually.</t>
  </si>
  <si>
    <t>6-7 months</t>
  </si>
  <si>
    <t>1990-017</t>
  </si>
  <si>
    <t>East Orchard Family</t>
  </si>
  <si>
    <t>Per the market study included in Tab 5, the site is suitable for the development. The population and household growth in the market area is significant and the demand for the development is reasonable. The average vacancy rate is 2.4%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all of the above listed DCA funded properties are not comparables per the market study.</t>
  </si>
  <si>
    <t>2020-091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</si>
</sst>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Alignment="1" applyProtection="1">
      <alignment horizontal="left" vertical="center"/>
    </xf>
    <xf numFmtId="0" fontId="59" fillId="0" borderId="0" xfId="0" applyFont="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82" xfId="0" applyNumberFormat="1" applyFont="1" applyBorder="1" applyAlignment="1" applyProtection="1">
      <alignment vertical="center"/>
    </xf>
    <xf numFmtId="167" fontId="45" fillId="0" borderId="0" xfId="0" applyNumberFormat="1" applyFont="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178" fontId="45" fillId="5" borderId="133"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169" fontId="45" fillId="5" borderId="79"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167" fontId="45" fillId="5" borderId="9" xfId="0" applyNumberFormat="1"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L7" sqref="L7:N7"/>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The Pointe at St. Martin</v>
      </c>
    </row>
    <row r="3" spans="1:6" ht="15" customHeight="1">
      <c r="A3" s="830" t="str">
        <f>CONCATENATE('Part I-Project Information'!F38,", ", 'Part I-Project Information'!J39," County")</f>
        <v>Hartwell, Hart County</v>
      </c>
    </row>
    <row r="4" spans="1:6" ht="12" customHeight="1">
      <c r="A4" s="1350"/>
    </row>
    <row r="5" spans="1:6" ht="72" customHeight="1">
      <c r="A5" s="2678" t="s">
        <v>7137</v>
      </c>
      <c r="B5" s="2679" t="s">
        <v>4459</v>
      </c>
      <c r="C5" s="2679"/>
      <c r="D5" s="2679"/>
      <c r="E5" s="2679"/>
      <c r="F5" s="2679"/>
    </row>
    <row r="6" spans="1:6" ht="6.6" customHeight="1">
      <c r="A6" s="2678"/>
      <c r="B6" s="2679"/>
      <c r="C6" s="2679"/>
      <c r="D6" s="2679"/>
      <c r="E6" s="2679"/>
      <c r="F6" s="2679"/>
    </row>
    <row r="7" spans="1:6" ht="72" customHeight="1">
      <c r="A7" s="2678"/>
      <c r="B7" s="2679"/>
      <c r="C7" s="2679"/>
      <c r="D7" s="2679"/>
      <c r="E7" s="2679"/>
      <c r="F7" s="2679"/>
    </row>
    <row r="8" spans="1:6" ht="6.6" customHeight="1">
      <c r="A8" s="2678"/>
    </row>
    <row r="9" spans="1:6" ht="72" customHeight="1">
      <c r="A9" s="2678"/>
    </row>
    <row r="10" spans="1:6" ht="6.6" customHeight="1">
      <c r="A10" s="2678"/>
    </row>
    <row r="11" spans="1:6" ht="72" customHeight="1">
      <c r="A11" s="2678"/>
    </row>
    <row r="12" spans="1:6" ht="6.6" customHeight="1">
      <c r="A12" s="2678"/>
    </row>
    <row r="13" spans="1:6" ht="72" customHeight="1">
      <c r="A13" s="2678"/>
    </row>
    <row r="14" spans="1:6" ht="6.6" customHeight="1">
      <c r="A14" s="2678"/>
    </row>
    <row r="15" spans="1:6" ht="72" customHeight="1">
      <c r="A15" s="2678"/>
    </row>
    <row r="16" spans="1:6" ht="6.6" customHeight="1">
      <c r="A16" s="2678"/>
    </row>
    <row r="17" spans="1:1" ht="72" customHeight="1">
      <c r="A17" s="2678"/>
    </row>
    <row r="18" spans="1:1" ht="6.6" customHeight="1">
      <c r="A18" s="2678"/>
    </row>
    <row r="19" spans="1:1" ht="72" customHeight="1">
      <c r="A19" s="2678"/>
    </row>
    <row r="20" spans="1:1" ht="6.6" customHeight="1">
      <c r="A20" s="2678"/>
    </row>
    <row r="21" spans="1:1" ht="72" customHeight="1">
      <c r="A21" s="2678"/>
    </row>
    <row r="22" spans="1:1" ht="6.6" customHeight="1">
      <c r="A22" s="2678"/>
    </row>
    <row r="23" spans="1:1" ht="72" customHeight="1">
      <c r="A23" s="2678"/>
    </row>
  </sheetData>
  <sheetProtection algorithmName="SHA-512" hashValue="gy3MVEFqBQ13J2U2zKsyaooAxjZC3jW7ghY4L259Qkiy14isj3tUq+z/r7DGO9AeyLeCEmM2ZwH4WFB9/sqyeQ==" saltValue="nTbUvDiNWWGid6ikPN97W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2020-091 The Pointe at St. Martin, Hartwell, Hart County</v>
      </c>
      <c r="B1" s="1748"/>
      <c r="C1" s="1748"/>
      <c r="D1" s="1748"/>
      <c r="E1" s="1748"/>
      <c r="F1" s="1748"/>
      <c r="G1" s="1748"/>
      <c r="H1" s="1748"/>
      <c r="I1" s="1750"/>
      <c r="J1" s="1748"/>
      <c r="K1" s="1748"/>
      <c r="L1" s="1748"/>
      <c r="M1" s="1748"/>
      <c r="N1" s="1748"/>
      <c r="O1" s="1748"/>
      <c r="P1" s="1748"/>
      <c r="Q1" s="1749"/>
      <c r="T1" s="1746" t="str">
        <f>A1</f>
        <v>PART SIX - PROJECTED REVENUES &amp; EXPENSES  -  2020-091 The Pointe at St. Martin, Hartwell, Hart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3436</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3319" t="s">
        <v>3309</v>
      </c>
      <c r="MQ3" s="3319" t="s">
        <v>3310</v>
      </c>
      <c r="MR3" s="3319" t="s">
        <v>3311</v>
      </c>
      <c r="MS3" s="3319" t="s">
        <v>3312</v>
      </c>
      <c r="MT3" s="3319"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17" t="s">
        <v>3521</v>
      </c>
      <c r="R4" s="2372"/>
      <c r="S4" s="413"/>
      <c r="T4" s="413"/>
      <c r="U4" s="413"/>
      <c r="W4" s="414"/>
      <c r="X4" s="3343" t="s">
        <v>4126</v>
      </c>
      <c r="Y4" s="3343" t="s">
        <v>4127</v>
      </c>
      <c r="Z4" s="3343" t="s">
        <v>4128</v>
      </c>
      <c r="AA4" s="3343" t="s">
        <v>4129</v>
      </c>
      <c r="AB4" s="3343" t="s">
        <v>4130</v>
      </c>
      <c r="AC4" s="3343" t="s">
        <v>4131</v>
      </c>
      <c r="AD4" s="3343" t="s">
        <v>4132</v>
      </c>
      <c r="AE4" s="3343" t="s">
        <v>4133</v>
      </c>
      <c r="AF4" s="3343" t="s">
        <v>4134</v>
      </c>
      <c r="AG4" s="3343" t="s">
        <v>4135</v>
      </c>
      <c r="AH4" s="3343" t="s">
        <v>898</v>
      </c>
      <c r="AI4" s="3343" t="s">
        <v>738</v>
      </c>
      <c r="AJ4" s="3343" t="s">
        <v>739</v>
      </c>
      <c r="AK4" s="3343" t="s">
        <v>740</v>
      </c>
      <c r="AL4" s="3343" t="s">
        <v>741</v>
      </c>
      <c r="AM4" s="3343" t="s">
        <v>899</v>
      </c>
      <c r="AN4" s="3343" t="s">
        <v>2251</v>
      </c>
      <c r="AO4" s="3343" t="s">
        <v>2252</v>
      </c>
      <c r="AP4" s="3343" t="s">
        <v>2253</v>
      </c>
      <c r="AQ4" s="3343" t="s">
        <v>2254</v>
      </c>
      <c r="AR4" s="3343" t="s">
        <v>4137</v>
      </c>
      <c r="AS4" s="3343" t="s">
        <v>4138</v>
      </c>
      <c r="AT4" s="3343" t="s">
        <v>4139</v>
      </c>
      <c r="AU4" s="3343" t="s">
        <v>4140</v>
      </c>
      <c r="AV4" s="3343" t="s">
        <v>4136</v>
      </c>
      <c r="AW4" s="3343" t="s">
        <v>900</v>
      </c>
      <c r="AX4" s="3343" t="s">
        <v>2255</v>
      </c>
      <c r="AY4" s="3343" t="s">
        <v>2256</v>
      </c>
      <c r="AZ4" s="3343" t="s">
        <v>2257</v>
      </c>
      <c r="BA4" s="3343" t="s">
        <v>2258</v>
      </c>
      <c r="BB4" s="3343" t="s">
        <v>4141</v>
      </c>
      <c r="BC4" s="3343" t="s">
        <v>4142</v>
      </c>
      <c r="BD4" s="3343" t="s">
        <v>4143</v>
      </c>
      <c r="BE4" s="3343" t="s">
        <v>4144</v>
      </c>
      <c r="BF4" s="3343" t="s">
        <v>4145</v>
      </c>
      <c r="BG4" s="3343" t="s">
        <v>126</v>
      </c>
      <c r="BH4" s="3343" t="s">
        <v>2259</v>
      </c>
      <c r="BI4" s="3343" t="s">
        <v>2260</v>
      </c>
      <c r="BJ4" s="3343" t="s">
        <v>2261</v>
      </c>
      <c r="BK4" s="3343" t="s">
        <v>1126</v>
      </c>
      <c r="BL4" s="3343" t="s">
        <v>4146</v>
      </c>
      <c r="BM4" s="3343" t="s">
        <v>4147</v>
      </c>
      <c r="BN4" s="3343" t="s">
        <v>4148</v>
      </c>
      <c r="BO4" s="3343" t="s">
        <v>4149</v>
      </c>
      <c r="BP4" s="3343" t="s">
        <v>4150</v>
      </c>
      <c r="BQ4" s="3343" t="s">
        <v>540</v>
      </c>
      <c r="BR4" s="3343" t="s">
        <v>541</v>
      </c>
      <c r="BS4" s="3343" t="s">
        <v>560</v>
      </c>
      <c r="BT4" s="3343" t="s">
        <v>561</v>
      </c>
      <c r="BU4" s="3343" t="s">
        <v>562</v>
      </c>
      <c r="BV4" s="3343" t="s">
        <v>4151</v>
      </c>
      <c r="BW4" s="3343" t="s">
        <v>4152</v>
      </c>
      <c r="BX4" s="3343" t="s">
        <v>4153</v>
      </c>
      <c r="BY4" s="3343" t="s">
        <v>4154</v>
      </c>
      <c r="BZ4" s="3343" t="s">
        <v>4155</v>
      </c>
      <c r="CA4" s="3343" t="s">
        <v>563</v>
      </c>
      <c r="CB4" s="3343" t="s">
        <v>564</v>
      </c>
      <c r="CC4" s="3343" t="s">
        <v>565</v>
      </c>
      <c r="CD4" s="3343" t="s">
        <v>566</v>
      </c>
      <c r="CE4" s="3343" t="s">
        <v>567</v>
      </c>
      <c r="CF4" s="3343" t="s">
        <v>568</v>
      </c>
      <c r="CG4" s="3343" t="s">
        <v>569</v>
      </c>
      <c r="CH4" s="3343" t="s">
        <v>909</v>
      </c>
      <c r="CI4" s="3343" t="s">
        <v>910</v>
      </c>
      <c r="CJ4" s="3343" t="s">
        <v>911</v>
      </c>
      <c r="CK4" s="3343" t="s">
        <v>4161</v>
      </c>
      <c r="CL4" s="3343" t="s">
        <v>4162</v>
      </c>
      <c r="CM4" s="3343" t="s">
        <v>4163</v>
      </c>
      <c r="CN4" s="3343" t="s">
        <v>4164</v>
      </c>
      <c r="CO4" s="3343" t="s">
        <v>4165</v>
      </c>
      <c r="CP4" s="3343" t="s">
        <v>4156</v>
      </c>
      <c r="CQ4" s="3343" t="s">
        <v>4157</v>
      </c>
      <c r="CR4" s="3343" t="s">
        <v>4158</v>
      </c>
      <c r="CS4" s="3343" t="s">
        <v>4159</v>
      </c>
      <c r="CT4" s="3343" t="s">
        <v>4160</v>
      </c>
      <c r="CU4" s="3343" t="s">
        <v>4166</v>
      </c>
      <c r="CV4" s="3343" t="s">
        <v>4167</v>
      </c>
      <c r="CW4" s="3343" t="s">
        <v>4168</v>
      </c>
      <c r="CX4" s="3343" t="s">
        <v>4169</v>
      </c>
      <c r="CY4" s="3343" t="s">
        <v>4170</v>
      </c>
      <c r="CZ4" s="3343" t="s">
        <v>485</v>
      </c>
      <c r="DA4" s="3343" t="s">
        <v>486</v>
      </c>
      <c r="DB4" s="3343" t="s">
        <v>487</v>
      </c>
      <c r="DC4" s="3343" t="s">
        <v>488</v>
      </c>
      <c r="DD4" s="3343" t="s">
        <v>489</v>
      </c>
      <c r="DE4" s="3343" t="s">
        <v>4171</v>
      </c>
      <c r="DF4" s="3343" t="s">
        <v>4172</v>
      </c>
      <c r="DG4" s="3343" t="s">
        <v>4173</v>
      </c>
      <c r="DH4" s="3343" t="s">
        <v>4174</v>
      </c>
      <c r="DI4" s="3343" t="s">
        <v>4175</v>
      </c>
      <c r="DJ4" s="3343" t="s">
        <v>859</v>
      </c>
      <c r="DK4" s="3343" t="s">
        <v>860</v>
      </c>
      <c r="DL4" s="3343" t="s">
        <v>861</v>
      </c>
      <c r="DM4" s="3343" t="s">
        <v>862</v>
      </c>
      <c r="DN4" s="3343" t="s">
        <v>863</v>
      </c>
      <c r="DO4" s="3343" t="s">
        <v>864</v>
      </c>
      <c r="DP4" s="3343" t="s">
        <v>865</v>
      </c>
      <c r="DQ4" s="3343" t="s">
        <v>866</v>
      </c>
      <c r="DR4" s="3343" t="s">
        <v>867</v>
      </c>
      <c r="DS4" s="3343" t="s">
        <v>868</v>
      </c>
      <c r="DT4" s="3343" t="s">
        <v>4176</v>
      </c>
      <c r="DU4" s="3343" t="s">
        <v>4177</v>
      </c>
      <c r="DV4" s="3343" t="s">
        <v>4178</v>
      </c>
      <c r="DW4" s="3343" t="s">
        <v>4179</v>
      </c>
      <c r="DX4" s="3343" t="s">
        <v>4180</v>
      </c>
      <c r="DY4" s="3343" t="s">
        <v>4181</v>
      </c>
      <c r="DZ4" s="3343" t="s">
        <v>4182</v>
      </c>
      <c r="EA4" s="3343" t="s">
        <v>4183</v>
      </c>
      <c r="EB4" s="3343" t="s">
        <v>4184</v>
      </c>
      <c r="EC4" s="3343" t="s">
        <v>4185</v>
      </c>
      <c r="ED4" s="3343" t="s">
        <v>2367</v>
      </c>
      <c r="EE4" s="3343" t="s">
        <v>2368</v>
      </c>
      <c r="EF4" s="3343" t="s">
        <v>2369</v>
      </c>
      <c r="EG4" s="3343" t="s">
        <v>2370</v>
      </c>
      <c r="EH4" s="3343" t="s">
        <v>2371</v>
      </c>
      <c r="EI4" s="3343" t="s">
        <v>4186</v>
      </c>
      <c r="EJ4" s="3343" t="s">
        <v>4187</v>
      </c>
      <c r="EK4" s="3343" t="s">
        <v>4188</v>
      </c>
      <c r="EL4" s="3343" t="s">
        <v>4189</v>
      </c>
      <c r="EM4" s="3343" t="s">
        <v>4190</v>
      </c>
      <c r="EN4" s="3343" t="s">
        <v>4191</v>
      </c>
      <c r="EO4" s="3343" t="s">
        <v>4192</v>
      </c>
      <c r="EP4" s="3343" t="s">
        <v>4193</v>
      </c>
      <c r="EQ4" s="3343" t="s">
        <v>4194</v>
      </c>
      <c r="ER4" s="3343" t="s">
        <v>4195</v>
      </c>
      <c r="ES4" s="3319" t="s">
        <v>114</v>
      </c>
      <c r="ET4" s="3319" t="s">
        <v>1129</v>
      </c>
      <c r="EU4" s="3319" t="s">
        <v>1130</v>
      </c>
      <c r="EV4" s="3319" t="s">
        <v>1187</v>
      </c>
      <c r="EW4" s="3319" t="s">
        <v>1188</v>
      </c>
      <c r="EX4" s="3319" t="s">
        <v>129</v>
      </c>
      <c r="EY4" s="3319" t="s">
        <v>1189</v>
      </c>
      <c r="EZ4" s="3319" t="s">
        <v>1190</v>
      </c>
      <c r="FA4" s="3319" t="s">
        <v>1191</v>
      </c>
      <c r="FB4" s="3319" t="s">
        <v>1192</v>
      </c>
      <c r="FC4" s="3343" t="s">
        <v>4196</v>
      </c>
      <c r="FD4" s="3343" t="s">
        <v>4197</v>
      </c>
      <c r="FE4" s="3343" t="s">
        <v>4198</v>
      </c>
      <c r="FF4" s="3343" t="s">
        <v>4199</v>
      </c>
      <c r="FG4" s="3343" t="s">
        <v>4200</v>
      </c>
      <c r="FH4" s="3319" t="s">
        <v>128</v>
      </c>
      <c r="FI4" s="3319" t="s">
        <v>890</v>
      </c>
      <c r="FJ4" s="3319" t="s">
        <v>891</v>
      </c>
      <c r="FK4" s="3319" t="s">
        <v>892</v>
      </c>
      <c r="FL4" s="3319" t="s">
        <v>893</v>
      </c>
      <c r="FM4" s="3343" t="s">
        <v>4201</v>
      </c>
      <c r="FN4" s="3343" t="s">
        <v>4202</v>
      </c>
      <c r="FO4" s="3343" t="s">
        <v>4203</v>
      </c>
      <c r="FP4" s="3343" t="s">
        <v>4204</v>
      </c>
      <c r="FQ4" s="3343" t="s">
        <v>4205</v>
      </c>
      <c r="FR4" s="3319" t="s">
        <v>127</v>
      </c>
      <c r="FS4" s="3319" t="s">
        <v>894</v>
      </c>
      <c r="FT4" s="3319" t="s">
        <v>895</v>
      </c>
      <c r="FU4" s="3319" t="s">
        <v>896</v>
      </c>
      <c r="FV4" s="3319" t="s">
        <v>897</v>
      </c>
      <c r="FW4" s="3319" t="s">
        <v>789</v>
      </c>
      <c r="FX4" s="3319" t="s">
        <v>790</v>
      </c>
      <c r="FY4" s="3319" t="s">
        <v>791</v>
      </c>
      <c r="FZ4" s="3319" t="s">
        <v>792</v>
      </c>
      <c r="GA4" s="3319" t="s">
        <v>793</v>
      </c>
      <c r="GB4" s="3319" t="s">
        <v>935</v>
      </c>
      <c r="GC4" s="3319" t="s">
        <v>936</v>
      </c>
      <c r="GD4" s="3319" t="s">
        <v>937</v>
      </c>
      <c r="GE4" s="3319" t="s">
        <v>938</v>
      </c>
      <c r="GF4" s="3319" t="s">
        <v>2366</v>
      </c>
      <c r="GG4" s="3319" t="s">
        <v>1405</v>
      </c>
      <c r="GH4" s="3319" t="s">
        <v>1406</v>
      </c>
      <c r="GI4" s="3319" t="s">
        <v>1407</v>
      </c>
      <c r="GJ4" s="3319" t="s">
        <v>1408</v>
      </c>
      <c r="GK4" s="3319" t="s">
        <v>1409</v>
      </c>
      <c r="GL4" s="3319" t="s">
        <v>428</v>
      </c>
      <c r="GM4" s="3319" t="s">
        <v>429</v>
      </c>
      <c r="GN4" s="3319" t="s">
        <v>430</v>
      </c>
      <c r="GO4" s="3319" t="s">
        <v>431</v>
      </c>
      <c r="GP4" s="3319" t="s">
        <v>432</v>
      </c>
      <c r="GQ4" s="3319" t="s">
        <v>15</v>
      </c>
      <c r="GR4" s="3319" t="s">
        <v>16</v>
      </c>
      <c r="GS4" s="3319" t="s">
        <v>17</v>
      </c>
      <c r="GT4" s="3319" t="s">
        <v>18</v>
      </c>
      <c r="GU4" s="3319" t="s">
        <v>19</v>
      </c>
      <c r="GV4" s="3319" t="s">
        <v>217</v>
      </c>
      <c r="GW4" s="3319" t="s">
        <v>218</v>
      </c>
      <c r="GX4" s="3319" t="s">
        <v>219</v>
      </c>
      <c r="GY4" s="3319" t="s">
        <v>1765</v>
      </c>
      <c r="GZ4" s="3319" t="s">
        <v>1766</v>
      </c>
      <c r="HA4" s="3319" t="s">
        <v>1767</v>
      </c>
      <c r="HB4" s="3319" t="s">
        <v>575</v>
      </c>
      <c r="HC4" s="3319" t="s">
        <v>576</v>
      </c>
      <c r="HD4" s="3319" t="s">
        <v>577</v>
      </c>
      <c r="HE4" s="3319" t="s">
        <v>578</v>
      </c>
      <c r="HF4" s="3319" t="s">
        <v>20</v>
      </c>
      <c r="HG4" s="3319" t="s">
        <v>21</v>
      </c>
      <c r="HH4" s="3319" t="s">
        <v>22</v>
      </c>
      <c r="HI4" s="3319" t="s">
        <v>23</v>
      </c>
      <c r="HJ4" s="3319" t="s">
        <v>24</v>
      </c>
      <c r="HK4" s="3319" t="s">
        <v>484</v>
      </c>
      <c r="HL4" s="3319" t="s">
        <v>424</v>
      </c>
      <c r="HM4" s="3319" t="s">
        <v>425</v>
      </c>
      <c r="HN4" s="3319" t="s">
        <v>426</v>
      </c>
      <c r="HO4" s="3319" t="s">
        <v>427</v>
      </c>
      <c r="HP4" s="3319" t="s">
        <v>2152</v>
      </c>
      <c r="HQ4" s="3319" t="s">
        <v>2153</v>
      </c>
      <c r="HR4" s="3319" t="s">
        <v>2154</v>
      </c>
      <c r="HS4" s="3319" t="s">
        <v>1448</v>
      </c>
      <c r="HT4" s="3319" t="s">
        <v>1449</v>
      </c>
      <c r="HU4" s="3319" t="s">
        <v>25</v>
      </c>
      <c r="HV4" s="3319" t="s">
        <v>26</v>
      </c>
      <c r="HW4" s="3319" t="s">
        <v>27</v>
      </c>
      <c r="HX4" s="3319" t="s">
        <v>28</v>
      </c>
      <c r="HY4" s="3319"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3319" t="s">
        <v>1592</v>
      </c>
      <c r="LR4" s="3319" t="s">
        <v>2457</v>
      </c>
      <c r="LS4" s="3319" t="s">
        <v>2458</v>
      </c>
      <c r="LT4" s="3319" t="s">
        <v>379</v>
      </c>
      <c r="LU4" s="3319" t="s">
        <v>380</v>
      </c>
      <c r="LV4" s="3319" t="s">
        <v>381</v>
      </c>
      <c r="LW4" s="3319" t="s">
        <v>382</v>
      </c>
      <c r="LX4" s="3319" t="s">
        <v>383</v>
      </c>
      <c r="LY4" s="3319" t="s">
        <v>384</v>
      </c>
      <c r="LZ4" s="3319" t="s">
        <v>385</v>
      </c>
      <c r="MA4" s="3319" t="s">
        <v>198</v>
      </c>
      <c r="MB4" s="3319" t="s">
        <v>199</v>
      </c>
      <c r="MC4" s="3319" t="s">
        <v>200</v>
      </c>
      <c r="MD4" s="3319" t="s">
        <v>201</v>
      </c>
      <c r="ME4" s="3319" t="s">
        <v>202</v>
      </c>
      <c r="MF4" s="3319" t="s">
        <v>203</v>
      </c>
      <c r="MG4" s="3319" t="s">
        <v>204</v>
      </c>
      <c r="MH4" s="3319" t="s">
        <v>205</v>
      </c>
      <c r="MI4" s="3319" t="s">
        <v>206</v>
      </c>
      <c r="MJ4" s="3319" t="s">
        <v>207</v>
      </c>
      <c r="MK4" s="3319" t="s">
        <v>208</v>
      </c>
      <c r="ML4" s="3319" t="s">
        <v>209</v>
      </c>
      <c r="MM4" s="3319" t="s">
        <v>210</v>
      </c>
      <c r="MN4" s="3319" t="s">
        <v>211</v>
      </c>
      <c r="MO4" s="3319" t="s">
        <v>212</v>
      </c>
      <c r="MP4" s="3319"/>
      <c r="MQ4" s="3319"/>
      <c r="MR4" s="3319"/>
      <c r="MS4" s="3319"/>
      <c r="MT4" s="3319"/>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50" t="str">
        <f>IF(A48&gt;0,"Finish Row!","")</f>
        <v>Finish Row!</v>
      </c>
      <c r="B5" s="4" t="s">
        <v>1800</v>
      </c>
      <c r="D5" s="1"/>
      <c r="E5" s="4"/>
      <c r="F5" s="1"/>
      <c r="G5" s="2531" t="s">
        <v>197</v>
      </c>
      <c r="I5" s="3317" t="s">
        <v>4793</v>
      </c>
      <c r="K5" s="2375" t="s">
        <v>3433</v>
      </c>
      <c r="L5" s="3351" t="str">
        <f>'Part I-Project Information'!$B$6</f>
        <v>May 26, 2020 Version</v>
      </c>
      <c r="M5" s="3352"/>
      <c r="N5" s="2373" t="s">
        <v>559</v>
      </c>
      <c r="P5" s="2374" t="s">
        <v>4221</v>
      </c>
      <c r="Q5" s="3317"/>
      <c r="R5" s="2372"/>
      <c r="S5" s="94"/>
      <c r="U5" s="94"/>
      <c r="X5" s="3343"/>
      <c r="Y5" s="3343"/>
      <c r="Z5" s="3343"/>
      <c r="AA5" s="3343"/>
      <c r="AB5" s="3343"/>
      <c r="AC5" s="3343"/>
      <c r="AD5" s="3343"/>
      <c r="AE5" s="3343"/>
      <c r="AF5" s="3343"/>
      <c r="AG5" s="3343"/>
      <c r="AH5" s="3343"/>
      <c r="AI5" s="3343"/>
      <c r="AJ5" s="3343"/>
      <c r="AK5" s="3343"/>
      <c r="AL5" s="3343"/>
      <c r="AM5" s="3343"/>
      <c r="AN5" s="3343"/>
      <c r="AO5" s="3343"/>
      <c r="AP5" s="3343"/>
      <c r="AQ5" s="3343"/>
      <c r="AR5" s="3343"/>
      <c r="AS5" s="3343"/>
      <c r="AT5" s="3343"/>
      <c r="AU5" s="3343"/>
      <c r="AV5" s="3343"/>
      <c r="AW5" s="3343"/>
      <c r="AX5" s="3343"/>
      <c r="AY5" s="3343"/>
      <c r="AZ5" s="3343"/>
      <c r="BA5" s="3343"/>
      <c r="BB5" s="3343"/>
      <c r="BC5" s="3343"/>
      <c r="BD5" s="3343"/>
      <c r="BE5" s="3343"/>
      <c r="BF5" s="3343"/>
      <c r="BG5" s="3343"/>
      <c r="BH5" s="3343"/>
      <c r="BI5" s="3343"/>
      <c r="BJ5" s="3343"/>
      <c r="BK5" s="3343"/>
      <c r="BL5" s="3343"/>
      <c r="BM5" s="3343"/>
      <c r="BN5" s="3343"/>
      <c r="BO5" s="3343"/>
      <c r="BP5" s="3343"/>
      <c r="BQ5" s="3343"/>
      <c r="BR5" s="3343"/>
      <c r="BS5" s="3343"/>
      <c r="BT5" s="3343"/>
      <c r="BU5" s="3343"/>
      <c r="BV5" s="3343"/>
      <c r="BW5" s="3343"/>
      <c r="BX5" s="3343"/>
      <c r="BY5" s="3343"/>
      <c r="BZ5" s="3343"/>
      <c r="CA5" s="3343"/>
      <c r="CB5" s="3343"/>
      <c r="CC5" s="3343"/>
      <c r="CD5" s="3343"/>
      <c r="CE5" s="3343"/>
      <c r="CF5" s="3343"/>
      <c r="CG5" s="3343"/>
      <c r="CH5" s="3343"/>
      <c r="CI5" s="3343"/>
      <c r="CJ5" s="3343"/>
      <c r="CK5" s="3343"/>
      <c r="CL5" s="3343"/>
      <c r="CM5" s="3343"/>
      <c r="CN5" s="3343"/>
      <c r="CO5" s="3343"/>
      <c r="CP5" s="3343"/>
      <c r="CQ5" s="3343"/>
      <c r="CR5" s="3343"/>
      <c r="CS5" s="3343"/>
      <c r="CT5" s="3343"/>
      <c r="CU5" s="3343"/>
      <c r="CV5" s="3343"/>
      <c r="CW5" s="3343"/>
      <c r="CX5" s="3343"/>
      <c r="CY5" s="3343"/>
      <c r="CZ5" s="3343"/>
      <c r="DA5" s="3343"/>
      <c r="DB5" s="3343"/>
      <c r="DC5" s="3343"/>
      <c r="DD5" s="3343"/>
      <c r="DE5" s="3343"/>
      <c r="DF5" s="3343"/>
      <c r="DG5" s="3343"/>
      <c r="DH5" s="3343"/>
      <c r="DI5" s="3343"/>
      <c r="DJ5" s="3343"/>
      <c r="DK5" s="3343"/>
      <c r="DL5" s="3343"/>
      <c r="DM5" s="3343"/>
      <c r="DN5" s="3343"/>
      <c r="DO5" s="3343"/>
      <c r="DP5" s="3343"/>
      <c r="DQ5" s="3343"/>
      <c r="DR5" s="3343"/>
      <c r="DS5" s="3343"/>
      <c r="DT5" s="3343"/>
      <c r="DU5" s="3343"/>
      <c r="DV5" s="3343"/>
      <c r="DW5" s="3343"/>
      <c r="DX5" s="3343"/>
      <c r="DY5" s="3343"/>
      <c r="DZ5" s="3343"/>
      <c r="EA5" s="3343"/>
      <c r="EB5" s="3343"/>
      <c r="EC5" s="3343"/>
      <c r="ED5" s="3343"/>
      <c r="EE5" s="3343"/>
      <c r="EF5" s="3343"/>
      <c r="EG5" s="3343"/>
      <c r="EH5" s="3343"/>
      <c r="EI5" s="3343"/>
      <c r="EJ5" s="3343"/>
      <c r="EK5" s="3343"/>
      <c r="EL5" s="3343"/>
      <c r="EM5" s="3343"/>
      <c r="EN5" s="3343"/>
      <c r="EO5" s="3343"/>
      <c r="EP5" s="3343"/>
      <c r="EQ5" s="3343"/>
      <c r="ER5" s="3343"/>
      <c r="ES5" s="3319"/>
      <c r="ET5" s="3319"/>
      <c r="EU5" s="3319"/>
      <c r="EV5" s="3319"/>
      <c r="EW5" s="3319"/>
      <c r="EX5" s="3319"/>
      <c r="EY5" s="3319"/>
      <c r="EZ5" s="3319"/>
      <c r="FA5" s="3319"/>
      <c r="FB5" s="3319"/>
      <c r="FC5" s="3343"/>
      <c r="FD5" s="3343"/>
      <c r="FE5" s="3343"/>
      <c r="FF5" s="3343"/>
      <c r="FG5" s="3343"/>
      <c r="FH5" s="3319"/>
      <c r="FI5" s="3319"/>
      <c r="FJ5" s="3319"/>
      <c r="FK5" s="3319"/>
      <c r="FL5" s="3319"/>
      <c r="FM5" s="3343"/>
      <c r="FN5" s="3343"/>
      <c r="FO5" s="3343"/>
      <c r="FP5" s="3343"/>
      <c r="FQ5" s="3343"/>
      <c r="FR5" s="3319"/>
      <c r="FS5" s="3319"/>
      <c r="FT5" s="3319"/>
      <c r="FU5" s="3319"/>
      <c r="FV5" s="3319"/>
      <c r="FW5" s="3319"/>
      <c r="FX5" s="3319"/>
      <c r="FY5" s="3319"/>
      <c r="FZ5" s="3319"/>
      <c r="GA5" s="3319"/>
      <c r="GB5" s="3319"/>
      <c r="GC5" s="3319"/>
      <c r="GD5" s="3319"/>
      <c r="GE5" s="3319"/>
      <c r="GF5" s="3319"/>
      <c r="GG5" s="3319"/>
      <c r="GH5" s="3319"/>
      <c r="GI5" s="3319"/>
      <c r="GJ5" s="3319"/>
      <c r="GK5" s="3319"/>
      <c r="GL5" s="3319"/>
      <c r="GM5" s="3319"/>
      <c r="GN5" s="3319"/>
      <c r="GO5" s="3319"/>
      <c r="GP5" s="3319"/>
      <c r="GQ5" s="3319"/>
      <c r="GR5" s="3319"/>
      <c r="GS5" s="3319"/>
      <c r="GT5" s="3319"/>
      <c r="GU5" s="3319"/>
      <c r="GV5" s="3319"/>
      <c r="GW5" s="3319"/>
      <c r="GX5" s="3319"/>
      <c r="GY5" s="3319"/>
      <c r="GZ5" s="3319"/>
      <c r="HA5" s="3319"/>
      <c r="HB5" s="3319"/>
      <c r="HC5" s="3319"/>
      <c r="HD5" s="3319"/>
      <c r="HE5" s="3319"/>
      <c r="HF5" s="3319"/>
      <c r="HG5" s="3319"/>
      <c r="HH5" s="3319"/>
      <c r="HI5" s="3319"/>
      <c r="HJ5" s="3319"/>
      <c r="HK5" s="3319"/>
      <c r="HL5" s="3319"/>
      <c r="HM5" s="3319"/>
      <c r="HN5" s="3319"/>
      <c r="HO5" s="3319"/>
      <c r="HP5" s="3319"/>
      <c r="HQ5" s="3319"/>
      <c r="HR5" s="3319"/>
      <c r="HS5" s="3319"/>
      <c r="HT5" s="3319"/>
      <c r="HU5" s="3319"/>
      <c r="HV5" s="3319"/>
      <c r="HW5" s="3319"/>
      <c r="HX5" s="3319"/>
      <c r="HY5" s="3319"/>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3319"/>
      <c r="LR5" s="3319"/>
      <c r="LS5" s="3319"/>
      <c r="LT5" s="3319"/>
      <c r="LU5" s="3319"/>
      <c r="LV5" s="3319"/>
      <c r="LW5" s="3319"/>
      <c r="LX5" s="3319"/>
      <c r="LY5" s="3319"/>
      <c r="LZ5" s="3319"/>
      <c r="MA5" s="3319"/>
      <c r="MB5" s="3319"/>
      <c r="MC5" s="3319"/>
      <c r="MD5" s="3319"/>
      <c r="ME5" s="3319"/>
      <c r="MF5" s="3319"/>
      <c r="MG5" s="3319"/>
      <c r="MH5" s="3319"/>
      <c r="MI5" s="3319"/>
      <c r="MJ5" s="3319"/>
      <c r="MK5" s="3319"/>
      <c r="ML5" s="3319"/>
      <c r="MM5" s="3319"/>
      <c r="MN5" s="3319"/>
      <c r="MO5" s="3319"/>
      <c r="MP5" s="3319"/>
      <c r="MQ5" s="3319"/>
      <c r="MR5" s="3319"/>
      <c r="MS5" s="3319"/>
      <c r="MT5" s="3319"/>
      <c r="MU5" s="3357" t="s">
        <v>3304</v>
      </c>
      <c r="MV5" s="3357" t="s">
        <v>3305</v>
      </c>
      <c r="MW5" s="3357" t="s">
        <v>3306</v>
      </c>
      <c r="MX5" s="3357" t="s">
        <v>3307</v>
      </c>
      <c r="MY5" s="3357" t="s">
        <v>3308</v>
      </c>
      <c r="MZ5" s="3319" t="s">
        <v>3318</v>
      </c>
      <c r="NA5" s="3319" t="s">
        <v>3320</v>
      </c>
      <c r="NB5" s="3319" t="s">
        <v>3321</v>
      </c>
      <c r="NC5" s="3319" t="s">
        <v>3322</v>
      </c>
      <c r="ND5" s="3319"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50"/>
      <c r="B6" s="29" t="s">
        <v>1759</v>
      </c>
      <c r="D6" s="1"/>
      <c r="E6" s="4"/>
      <c r="F6" s="2532" t="s">
        <v>2889</v>
      </c>
      <c r="G6" s="2375" t="s">
        <v>3490</v>
      </c>
      <c r="H6" s="3317" t="s">
        <v>3663</v>
      </c>
      <c r="I6" s="3317"/>
      <c r="J6" s="2375" t="s">
        <v>778</v>
      </c>
      <c r="K6" s="2375" t="s">
        <v>3493</v>
      </c>
      <c r="L6" s="3352"/>
      <c r="M6" s="3352"/>
      <c r="N6" s="3349" t="str">
        <f>'Part I-Project Information'!$O$40</f>
        <v>Hart Co.</v>
      </c>
      <c r="O6" s="3349"/>
      <c r="P6" s="2533">
        <f>VLOOKUP('Part I-Project Information'!$O$40,'DCA Underwriting Assumptions'!$C$173:$D$283,2)</f>
        <v>50900</v>
      </c>
      <c r="Q6" s="3317"/>
      <c r="R6" s="3355" t="s">
        <v>2619</v>
      </c>
      <c r="S6" s="3355"/>
      <c r="X6" s="3343"/>
      <c r="Y6" s="3343"/>
      <c r="Z6" s="3343"/>
      <c r="AA6" s="3343"/>
      <c r="AB6" s="3343"/>
      <c r="AC6" s="3343"/>
      <c r="AD6" s="3343"/>
      <c r="AE6" s="3343"/>
      <c r="AF6" s="3343"/>
      <c r="AG6" s="3343"/>
      <c r="AH6" s="3343"/>
      <c r="AI6" s="3343"/>
      <c r="AJ6" s="3343"/>
      <c r="AK6" s="3343"/>
      <c r="AL6" s="3343"/>
      <c r="AM6" s="3343"/>
      <c r="AN6" s="3343"/>
      <c r="AO6" s="3343"/>
      <c r="AP6" s="3343"/>
      <c r="AQ6" s="3343"/>
      <c r="AR6" s="3343"/>
      <c r="AS6" s="3343"/>
      <c r="AT6" s="3343"/>
      <c r="AU6" s="3343"/>
      <c r="AV6" s="3343"/>
      <c r="AW6" s="3343"/>
      <c r="AX6" s="3343"/>
      <c r="AY6" s="3343"/>
      <c r="AZ6" s="3343"/>
      <c r="BA6" s="3343"/>
      <c r="BB6" s="3343"/>
      <c r="BC6" s="3343"/>
      <c r="BD6" s="3343"/>
      <c r="BE6" s="3343"/>
      <c r="BF6" s="3343"/>
      <c r="BG6" s="3343"/>
      <c r="BH6" s="3343"/>
      <c r="BI6" s="3343"/>
      <c r="BJ6" s="3343"/>
      <c r="BK6" s="3343"/>
      <c r="BL6" s="3343"/>
      <c r="BM6" s="3343"/>
      <c r="BN6" s="3343"/>
      <c r="BO6" s="3343"/>
      <c r="BP6" s="3343"/>
      <c r="BQ6" s="3343"/>
      <c r="BR6" s="3343"/>
      <c r="BS6" s="3343"/>
      <c r="BT6" s="3343"/>
      <c r="BU6" s="3343"/>
      <c r="BV6" s="3343"/>
      <c r="BW6" s="3343"/>
      <c r="BX6" s="3343"/>
      <c r="BY6" s="3343"/>
      <c r="BZ6" s="3343"/>
      <c r="CA6" s="3343"/>
      <c r="CB6" s="3343"/>
      <c r="CC6" s="3343"/>
      <c r="CD6" s="3343"/>
      <c r="CE6" s="3343"/>
      <c r="CF6" s="3343"/>
      <c r="CG6" s="3343"/>
      <c r="CH6" s="3343"/>
      <c r="CI6" s="3343"/>
      <c r="CJ6" s="3343"/>
      <c r="CK6" s="3343"/>
      <c r="CL6" s="3343"/>
      <c r="CM6" s="3343"/>
      <c r="CN6" s="3343"/>
      <c r="CO6" s="3343"/>
      <c r="CP6" s="3343"/>
      <c r="CQ6" s="3343"/>
      <c r="CR6" s="3343"/>
      <c r="CS6" s="3343"/>
      <c r="CT6" s="3343"/>
      <c r="CU6" s="3343"/>
      <c r="CV6" s="3343"/>
      <c r="CW6" s="3343"/>
      <c r="CX6" s="3343"/>
      <c r="CY6" s="3343"/>
      <c r="CZ6" s="3343"/>
      <c r="DA6" s="3343"/>
      <c r="DB6" s="3343"/>
      <c r="DC6" s="3343"/>
      <c r="DD6" s="3343"/>
      <c r="DE6" s="3343"/>
      <c r="DF6" s="3343"/>
      <c r="DG6" s="3343"/>
      <c r="DH6" s="3343"/>
      <c r="DI6" s="3343"/>
      <c r="DJ6" s="3343"/>
      <c r="DK6" s="3343"/>
      <c r="DL6" s="3343"/>
      <c r="DM6" s="3343"/>
      <c r="DN6" s="3343"/>
      <c r="DO6" s="3343"/>
      <c r="DP6" s="3343"/>
      <c r="DQ6" s="3343"/>
      <c r="DR6" s="3343"/>
      <c r="DS6" s="3343"/>
      <c r="DT6" s="3343"/>
      <c r="DU6" s="3343"/>
      <c r="DV6" s="3343"/>
      <c r="DW6" s="3343"/>
      <c r="DX6" s="3343"/>
      <c r="DY6" s="3343"/>
      <c r="DZ6" s="3343"/>
      <c r="EA6" s="3343"/>
      <c r="EB6" s="3343"/>
      <c r="EC6" s="3343"/>
      <c r="ED6" s="3343"/>
      <c r="EE6" s="3343"/>
      <c r="EF6" s="3343"/>
      <c r="EG6" s="3343"/>
      <c r="EH6" s="3343"/>
      <c r="EI6" s="3343"/>
      <c r="EJ6" s="3343"/>
      <c r="EK6" s="3343"/>
      <c r="EL6" s="3343"/>
      <c r="EM6" s="3343"/>
      <c r="EN6" s="3343"/>
      <c r="EO6" s="3343"/>
      <c r="EP6" s="3343"/>
      <c r="EQ6" s="3343"/>
      <c r="ER6" s="3343"/>
      <c r="ES6" s="3319"/>
      <c r="ET6" s="3319"/>
      <c r="EU6" s="3319"/>
      <c r="EV6" s="3319"/>
      <c r="EW6" s="3319"/>
      <c r="EX6" s="3319"/>
      <c r="EY6" s="3319"/>
      <c r="EZ6" s="3319"/>
      <c r="FA6" s="3319"/>
      <c r="FB6" s="3319"/>
      <c r="FC6" s="3343"/>
      <c r="FD6" s="3343"/>
      <c r="FE6" s="3343"/>
      <c r="FF6" s="3343"/>
      <c r="FG6" s="3343"/>
      <c r="FH6" s="3319"/>
      <c r="FI6" s="3319"/>
      <c r="FJ6" s="3319"/>
      <c r="FK6" s="3319"/>
      <c r="FL6" s="3319"/>
      <c r="FM6" s="3343"/>
      <c r="FN6" s="3343"/>
      <c r="FO6" s="3343"/>
      <c r="FP6" s="3343"/>
      <c r="FQ6" s="3343"/>
      <c r="FR6" s="3319"/>
      <c r="FS6" s="3319"/>
      <c r="FT6" s="3319"/>
      <c r="FU6" s="3319"/>
      <c r="FV6" s="3319"/>
      <c r="FW6" s="3319"/>
      <c r="FX6" s="3319"/>
      <c r="FY6" s="3319"/>
      <c r="FZ6" s="3319"/>
      <c r="GA6" s="3319"/>
      <c r="GB6" s="3319"/>
      <c r="GC6" s="3319"/>
      <c r="GD6" s="3319"/>
      <c r="GE6" s="3319"/>
      <c r="GF6" s="3319"/>
      <c r="GG6" s="3319"/>
      <c r="GH6" s="3319"/>
      <c r="GI6" s="3319"/>
      <c r="GJ6" s="3319"/>
      <c r="GK6" s="3319"/>
      <c r="GL6" s="3319"/>
      <c r="GM6" s="3319"/>
      <c r="GN6" s="3319"/>
      <c r="GO6" s="3319"/>
      <c r="GP6" s="3319"/>
      <c r="GQ6" s="3319"/>
      <c r="GR6" s="3319"/>
      <c r="GS6" s="3319"/>
      <c r="GT6" s="3319"/>
      <c r="GU6" s="3319"/>
      <c r="GV6" s="3319"/>
      <c r="GW6" s="3319"/>
      <c r="GX6" s="3319"/>
      <c r="GY6" s="3319"/>
      <c r="GZ6" s="3319"/>
      <c r="HA6" s="3319"/>
      <c r="HB6" s="3319"/>
      <c r="HC6" s="3319"/>
      <c r="HD6" s="3319"/>
      <c r="HE6" s="3319"/>
      <c r="HF6" s="3319"/>
      <c r="HG6" s="3319"/>
      <c r="HH6" s="3319"/>
      <c r="HI6" s="3319"/>
      <c r="HJ6" s="3319"/>
      <c r="HK6" s="3319"/>
      <c r="HL6" s="3319"/>
      <c r="HM6" s="3319"/>
      <c r="HN6" s="3319"/>
      <c r="HO6" s="3319"/>
      <c r="HP6" s="3319"/>
      <c r="HQ6" s="3319"/>
      <c r="HR6" s="3319"/>
      <c r="HS6" s="3319"/>
      <c r="HT6" s="3319"/>
      <c r="HU6" s="3319"/>
      <c r="HV6" s="3319"/>
      <c r="HW6" s="3319"/>
      <c r="HX6" s="3319"/>
      <c r="HY6" s="3319"/>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3319"/>
      <c r="LR6" s="3319"/>
      <c r="LS6" s="3319"/>
      <c r="LT6" s="3319"/>
      <c r="LU6" s="3319"/>
      <c r="LV6" s="3319"/>
      <c r="LW6" s="3319"/>
      <c r="LX6" s="3319"/>
      <c r="LY6" s="3319"/>
      <c r="LZ6" s="3319"/>
      <c r="MA6" s="3319"/>
      <c r="MB6" s="3319"/>
      <c r="MC6" s="3319"/>
      <c r="MD6" s="3319"/>
      <c r="ME6" s="3319"/>
      <c r="MF6" s="3319"/>
      <c r="MG6" s="3319"/>
      <c r="MH6" s="3319"/>
      <c r="MI6" s="3319"/>
      <c r="MJ6" s="3319"/>
      <c r="MK6" s="3319"/>
      <c r="ML6" s="3319"/>
      <c r="MM6" s="3319"/>
      <c r="MN6" s="3319"/>
      <c r="MO6" s="3319"/>
      <c r="MP6" s="3319"/>
      <c r="MQ6" s="3319"/>
      <c r="MR6" s="3319"/>
      <c r="MS6" s="3319"/>
      <c r="MT6" s="3319"/>
      <c r="MU6" s="3357"/>
      <c r="MV6" s="3357"/>
      <c r="MW6" s="3357"/>
      <c r="MX6" s="3357"/>
      <c r="MY6" s="3357"/>
      <c r="MZ6" s="3319"/>
      <c r="NA6" s="3319"/>
      <c r="NB6" s="3319"/>
      <c r="NC6" s="3319"/>
      <c r="ND6" s="3319"/>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50"/>
      <c r="B7" s="1008" t="s">
        <v>4208</v>
      </c>
      <c r="C7" s="1"/>
      <c r="D7" s="4"/>
      <c r="E7" s="1"/>
      <c r="F7" s="1"/>
      <c r="G7" s="2375" t="s">
        <v>3491</v>
      </c>
      <c r="H7" s="3317"/>
      <c r="I7" s="3317"/>
      <c r="J7" s="2375" t="s">
        <v>779</v>
      </c>
      <c r="K7" s="2375" t="s">
        <v>3494</v>
      </c>
      <c r="L7" s="831"/>
      <c r="M7" s="831"/>
      <c r="N7" s="3349"/>
      <c r="O7" s="3349"/>
      <c r="Q7" s="3317"/>
      <c r="R7" s="832"/>
      <c r="S7" s="836" t="s">
        <v>2616</v>
      </c>
      <c r="T7" s="413"/>
      <c r="W7" s="414"/>
      <c r="X7" s="3343"/>
      <c r="Y7" s="3343"/>
      <c r="Z7" s="3343"/>
      <c r="AA7" s="3343"/>
      <c r="AB7" s="3343"/>
      <c r="AC7" s="3343"/>
      <c r="AD7" s="3343"/>
      <c r="AE7" s="3343"/>
      <c r="AF7" s="3343"/>
      <c r="AG7" s="3343"/>
      <c r="AH7" s="3343"/>
      <c r="AI7" s="3343"/>
      <c r="AJ7" s="3343"/>
      <c r="AK7" s="3343"/>
      <c r="AL7" s="3343"/>
      <c r="AM7" s="3343"/>
      <c r="AN7" s="3343"/>
      <c r="AO7" s="3343"/>
      <c r="AP7" s="3343"/>
      <c r="AQ7" s="3343"/>
      <c r="AR7" s="3343"/>
      <c r="AS7" s="3343"/>
      <c r="AT7" s="3343"/>
      <c r="AU7" s="3343"/>
      <c r="AV7" s="3343"/>
      <c r="AW7" s="3343"/>
      <c r="AX7" s="3343"/>
      <c r="AY7" s="3343"/>
      <c r="AZ7" s="3343"/>
      <c r="BA7" s="3343"/>
      <c r="BB7" s="3343"/>
      <c r="BC7" s="3343"/>
      <c r="BD7" s="3343"/>
      <c r="BE7" s="3343"/>
      <c r="BF7" s="3343"/>
      <c r="BG7" s="3343"/>
      <c r="BH7" s="3343"/>
      <c r="BI7" s="3343"/>
      <c r="BJ7" s="3343"/>
      <c r="BK7" s="3343"/>
      <c r="BL7" s="3343"/>
      <c r="BM7" s="3343"/>
      <c r="BN7" s="3343"/>
      <c r="BO7" s="3343"/>
      <c r="BP7" s="3343"/>
      <c r="BQ7" s="3343"/>
      <c r="BR7" s="3343"/>
      <c r="BS7" s="3343"/>
      <c r="BT7" s="3343"/>
      <c r="BU7" s="3343"/>
      <c r="BV7" s="3343"/>
      <c r="BW7" s="3343"/>
      <c r="BX7" s="3343"/>
      <c r="BY7" s="3343"/>
      <c r="BZ7" s="3343"/>
      <c r="CA7" s="3343"/>
      <c r="CB7" s="3343"/>
      <c r="CC7" s="3343"/>
      <c r="CD7" s="3343"/>
      <c r="CE7" s="3343"/>
      <c r="CF7" s="3343"/>
      <c r="CG7" s="3343"/>
      <c r="CH7" s="3343"/>
      <c r="CI7" s="3343"/>
      <c r="CJ7" s="3343"/>
      <c r="CK7" s="3343"/>
      <c r="CL7" s="3343"/>
      <c r="CM7" s="3343"/>
      <c r="CN7" s="3343"/>
      <c r="CO7" s="3343"/>
      <c r="CP7" s="3343"/>
      <c r="CQ7" s="3343"/>
      <c r="CR7" s="3343"/>
      <c r="CS7" s="3343"/>
      <c r="CT7" s="3343"/>
      <c r="CU7" s="3343"/>
      <c r="CV7" s="3343"/>
      <c r="CW7" s="3343"/>
      <c r="CX7" s="3343"/>
      <c r="CY7" s="3343"/>
      <c r="CZ7" s="3343"/>
      <c r="DA7" s="3343"/>
      <c r="DB7" s="3343"/>
      <c r="DC7" s="3343"/>
      <c r="DD7" s="3343"/>
      <c r="DE7" s="3343"/>
      <c r="DF7" s="3343"/>
      <c r="DG7" s="3343"/>
      <c r="DH7" s="3343"/>
      <c r="DI7" s="3343"/>
      <c r="DJ7" s="3343"/>
      <c r="DK7" s="3343"/>
      <c r="DL7" s="3343"/>
      <c r="DM7" s="3343"/>
      <c r="DN7" s="3343"/>
      <c r="DO7" s="3343"/>
      <c r="DP7" s="3343"/>
      <c r="DQ7" s="3343"/>
      <c r="DR7" s="3343"/>
      <c r="DS7" s="3343"/>
      <c r="DT7" s="3343"/>
      <c r="DU7" s="3343"/>
      <c r="DV7" s="3343"/>
      <c r="DW7" s="3343"/>
      <c r="DX7" s="3343"/>
      <c r="DY7" s="3343"/>
      <c r="DZ7" s="3343"/>
      <c r="EA7" s="3343"/>
      <c r="EB7" s="3343"/>
      <c r="EC7" s="3343"/>
      <c r="ED7" s="3343"/>
      <c r="EE7" s="3343"/>
      <c r="EF7" s="3343"/>
      <c r="EG7" s="3343"/>
      <c r="EH7" s="3343"/>
      <c r="EI7" s="3343"/>
      <c r="EJ7" s="3343"/>
      <c r="EK7" s="3343"/>
      <c r="EL7" s="3343"/>
      <c r="EM7" s="3343"/>
      <c r="EN7" s="3343"/>
      <c r="EO7" s="3343"/>
      <c r="EP7" s="3343"/>
      <c r="EQ7" s="3343"/>
      <c r="ER7" s="3343"/>
      <c r="ES7" s="3319"/>
      <c r="ET7" s="3319"/>
      <c r="EU7" s="3319"/>
      <c r="EV7" s="3319"/>
      <c r="EW7" s="3319"/>
      <c r="EX7" s="3319"/>
      <c r="EY7" s="3319"/>
      <c r="EZ7" s="3319"/>
      <c r="FA7" s="3319"/>
      <c r="FB7" s="3319"/>
      <c r="FC7" s="3343"/>
      <c r="FD7" s="3343"/>
      <c r="FE7" s="3343"/>
      <c r="FF7" s="3343"/>
      <c r="FG7" s="3343"/>
      <c r="FH7" s="3319"/>
      <c r="FI7" s="3319"/>
      <c r="FJ7" s="3319"/>
      <c r="FK7" s="3319"/>
      <c r="FL7" s="3319"/>
      <c r="FM7" s="3343"/>
      <c r="FN7" s="3343"/>
      <c r="FO7" s="3343"/>
      <c r="FP7" s="3343"/>
      <c r="FQ7" s="3343"/>
      <c r="FR7" s="3319"/>
      <c r="FS7" s="3319"/>
      <c r="FT7" s="3319"/>
      <c r="FU7" s="3319"/>
      <c r="FV7" s="3319"/>
      <c r="FW7" s="3319"/>
      <c r="FX7" s="3319"/>
      <c r="FY7" s="3319"/>
      <c r="FZ7" s="3319"/>
      <c r="GA7" s="3319"/>
      <c r="GB7" s="3319"/>
      <c r="GC7" s="3319"/>
      <c r="GD7" s="3319"/>
      <c r="GE7" s="3319"/>
      <c r="GF7" s="3319"/>
      <c r="GG7" s="3319"/>
      <c r="GH7" s="3319"/>
      <c r="GI7" s="3319"/>
      <c r="GJ7" s="3319"/>
      <c r="GK7" s="3319"/>
      <c r="GL7" s="3319"/>
      <c r="GM7" s="3319"/>
      <c r="GN7" s="3319"/>
      <c r="GO7" s="3319"/>
      <c r="GP7" s="3319"/>
      <c r="GQ7" s="3319"/>
      <c r="GR7" s="3319"/>
      <c r="GS7" s="3319"/>
      <c r="GT7" s="3319"/>
      <c r="GU7" s="3319"/>
      <c r="GV7" s="3319"/>
      <c r="GW7" s="3319"/>
      <c r="GX7" s="3319"/>
      <c r="GY7" s="3319"/>
      <c r="GZ7" s="3319"/>
      <c r="HA7" s="3319"/>
      <c r="HB7" s="3319"/>
      <c r="HC7" s="3319"/>
      <c r="HD7" s="3319"/>
      <c r="HE7" s="3319"/>
      <c r="HF7" s="3319"/>
      <c r="HG7" s="3319"/>
      <c r="HH7" s="3319"/>
      <c r="HI7" s="3319"/>
      <c r="HJ7" s="3319"/>
      <c r="HK7" s="3319"/>
      <c r="HL7" s="3319"/>
      <c r="HM7" s="3319"/>
      <c r="HN7" s="3319"/>
      <c r="HO7" s="3319"/>
      <c r="HP7" s="3319"/>
      <c r="HQ7" s="3319"/>
      <c r="HR7" s="3319"/>
      <c r="HS7" s="3319"/>
      <c r="HT7" s="3319"/>
      <c r="HU7" s="3319"/>
      <c r="HV7" s="3319"/>
      <c r="HW7" s="3319"/>
      <c r="HX7" s="3319"/>
      <c r="HY7" s="3319"/>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3319"/>
      <c r="LR7" s="3319"/>
      <c r="LS7" s="3319"/>
      <c r="LT7" s="3319"/>
      <c r="LU7" s="3319"/>
      <c r="LV7" s="3319"/>
      <c r="LW7" s="3319"/>
      <c r="LX7" s="3319"/>
      <c r="LY7" s="3319"/>
      <c r="LZ7" s="3319"/>
      <c r="MA7" s="3319"/>
      <c r="MB7" s="3319"/>
      <c r="MC7" s="3319"/>
      <c r="MD7" s="3319"/>
      <c r="ME7" s="3319"/>
      <c r="MF7" s="3319"/>
      <c r="MG7" s="3319"/>
      <c r="MH7" s="3319"/>
      <c r="MI7" s="3319"/>
      <c r="MJ7" s="3319"/>
      <c r="MK7" s="3319"/>
      <c r="ML7" s="3319"/>
      <c r="MM7" s="3319"/>
      <c r="MN7" s="3319"/>
      <c r="MO7" s="3319"/>
      <c r="MP7" s="3319"/>
      <c r="MQ7" s="3319"/>
      <c r="MR7" s="3319"/>
      <c r="MS7" s="3319"/>
      <c r="MT7" s="3319"/>
      <c r="MU7" s="3357"/>
      <c r="MV7" s="3357"/>
      <c r="MW7" s="3357"/>
      <c r="MX7" s="3357"/>
      <c r="MY7" s="3357"/>
      <c r="MZ7" s="3319"/>
      <c r="NA7" s="3319"/>
      <c r="NB7" s="3319"/>
      <c r="NC7" s="3319"/>
      <c r="ND7" s="3319"/>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50"/>
      <c r="B8" s="1339" t="s">
        <v>4209</v>
      </c>
      <c r="C8" s="2375" t="s">
        <v>168</v>
      </c>
      <c r="D8" s="2375" t="s">
        <v>530</v>
      </c>
      <c r="E8" s="2375" t="s">
        <v>1445</v>
      </c>
      <c r="F8" s="2375" t="s">
        <v>1445</v>
      </c>
      <c r="G8" s="2375" t="s">
        <v>1447</v>
      </c>
      <c r="H8" s="2375" t="s">
        <v>3491</v>
      </c>
      <c r="I8" s="3317"/>
      <c r="J8" s="3353" t="s">
        <v>4475</v>
      </c>
      <c r="K8" s="2375" t="s">
        <v>2344</v>
      </c>
      <c r="L8" s="3356" t="s">
        <v>142</v>
      </c>
      <c r="M8" s="3356"/>
      <c r="N8" s="2375" t="s">
        <v>2307</v>
      </c>
      <c r="O8" s="2375" t="s">
        <v>4788</v>
      </c>
      <c r="P8" s="2375" t="s">
        <v>377</v>
      </c>
      <c r="Q8" s="3317"/>
      <c r="R8" s="2375" t="s">
        <v>2615</v>
      </c>
      <c r="S8" s="2375" t="s">
        <v>2617</v>
      </c>
      <c r="T8" s="415"/>
      <c r="W8" s="416"/>
      <c r="X8" s="3343"/>
      <c r="Y8" s="3343"/>
      <c r="Z8" s="3343"/>
      <c r="AA8" s="3343"/>
      <c r="AB8" s="3343"/>
      <c r="AC8" s="3343"/>
      <c r="AD8" s="3343"/>
      <c r="AE8" s="3343"/>
      <c r="AF8" s="3343"/>
      <c r="AG8" s="3343"/>
      <c r="AH8" s="3343"/>
      <c r="AI8" s="3343"/>
      <c r="AJ8" s="3343"/>
      <c r="AK8" s="3343"/>
      <c r="AL8" s="3343"/>
      <c r="AM8" s="3343"/>
      <c r="AN8" s="3343"/>
      <c r="AO8" s="3343"/>
      <c r="AP8" s="3343"/>
      <c r="AQ8" s="3343"/>
      <c r="AR8" s="3343"/>
      <c r="AS8" s="3343"/>
      <c r="AT8" s="3343"/>
      <c r="AU8" s="3343"/>
      <c r="AV8" s="3343"/>
      <c r="AW8" s="3343"/>
      <c r="AX8" s="3343"/>
      <c r="AY8" s="3343"/>
      <c r="AZ8" s="3343"/>
      <c r="BA8" s="3343"/>
      <c r="BB8" s="3343"/>
      <c r="BC8" s="3343"/>
      <c r="BD8" s="3343"/>
      <c r="BE8" s="3343"/>
      <c r="BF8" s="3343"/>
      <c r="BG8" s="3343"/>
      <c r="BH8" s="3343"/>
      <c r="BI8" s="3343"/>
      <c r="BJ8" s="3343"/>
      <c r="BK8" s="3343"/>
      <c r="BL8" s="3343"/>
      <c r="BM8" s="3343"/>
      <c r="BN8" s="3343"/>
      <c r="BO8" s="3343"/>
      <c r="BP8" s="3343"/>
      <c r="BQ8" s="3343"/>
      <c r="BR8" s="3343"/>
      <c r="BS8" s="3343"/>
      <c r="BT8" s="3343"/>
      <c r="BU8" s="3343"/>
      <c r="BV8" s="3343"/>
      <c r="BW8" s="3343"/>
      <c r="BX8" s="3343"/>
      <c r="BY8" s="3343"/>
      <c r="BZ8" s="3343"/>
      <c r="CA8" s="3343"/>
      <c r="CB8" s="3343"/>
      <c r="CC8" s="3343"/>
      <c r="CD8" s="3343"/>
      <c r="CE8" s="3343"/>
      <c r="CF8" s="3343"/>
      <c r="CG8" s="3343"/>
      <c r="CH8" s="3343"/>
      <c r="CI8" s="3343"/>
      <c r="CJ8" s="3343"/>
      <c r="CK8" s="3343"/>
      <c r="CL8" s="3343"/>
      <c r="CM8" s="3343"/>
      <c r="CN8" s="3343"/>
      <c r="CO8" s="3343"/>
      <c r="CP8" s="3343"/>
      <c r="CQ8" s="3343"/>
      <c r="CR8" s="3343"/>
      <c r="CS8" s="3343"/>
      <c r="CT8" s="3343"/>
      <c r="CU8" s="3343"/>
      <c r="CV8" s="3343"/>
      <c r="CW8" s="3343"/>
      <c r="CX8" s="3343"/>
      <c r="CY8" s="3343"/>
      <c r="CZ8" s="3343"/>
      <c r="DA8" s="3343"/>
      <c r="DB8" s="3343"/>
      <c r="DC8" s="3343"/>
      <c r="DD8" s="3343"/>
      <c r="DE8" s="3343"/>
      <c r="DF8" s="3343"/>
      <c r="DG8" s="3343"/>
      <c r="DH8" s="3343"/>
      <c r="DI8" s="3343"/>
      <c r="DJ8" s="3343"/>
      <c r="DK8" s="3343"/>
      <c r="DL8" s="3343"/>
      <c r="DM8" s="3343"/>
      <c r="DN8" s="3343"/>
      <c r="DO8" s="3343"/>
      <c r="DP8" s="3343"/>
      <c r="DQ8" s="3343"/>
      <c r="DR8" s="3343"/>
      <c r="DS8" s="3343"/>
      <c r="DT8" s="3343"/>
      <c r="DU8" s="3343"/>
      <c r="DV8" s="3343"/>
      <c r="DW8" s="3343"/>
      <c r="DX8" s="3343"/>
      <c r="DY8" s="3343"/>
      <c r="DZ8" s="3343"/>
      <c r="EA8" s="3343"/>
      <c r="EB8" s="3343"/>
      <c r="EC8" s="3343"/>
      <c r="ED8" s="3343"/>
      <c r="EE8" s="3343"/>
      <c r="EF8" s="3343"/>
      <c r="EG8" s="3343"/>
      <c r="EH8" s="3343"/>
      <c r="EI8" s="3343"/>
      <c r="EJ8" s="3343"/>
      <c r="EK8" s="3343"/>
      <c r="EL8" s="3343"/>
      <c r="EM8" s="3343"/>
      <c r="EN8" s="3343"/>
      <c r="EO8" s="3343"/>
      <c r="EP8" s="3343"/>
      <c r="EQ8" s="3343"/>
      <c r="ER8" s="3343"/>
      <c r="ES8" s="3319"/>
      <c r="ET8" s="3319"/>
      <c r="EU8" s="3319"/>
      <c r="EV8" s="3319"/>
      <c r="EW8" s="3319"/>
      <c r="EX8" s="3319"/>
      <c r="EY8" s="3319"/>
      <c r="EZ8" s="3319"/>
      <c r="FA8" s="3319"/>
      <c r="FB8" s="3319"/>
      <c r="FC8" s="3343"/>
      <c r="FD8" s="3343"/>
      <c r="FE8" s="3343"/>
      <c r="FF8" s="3343"/>
      <c r="FG8" s="3343"/>
      <c r="FH8" s="3319"/>
      <c r="FI8" s="3319"/>
      <c r="FJ8" s="3319"/>
      <c r="FK8" s="3319"/>
      <c r="FL8" s="3319"/>
      <c r="FM8" s="3343"/>
      <c r="FN8" s="3343"/>
      <c r="FO8" s="3343"/>
      <c r="FP8" s="3343"/>
      <c r="FQ8" s="3343"/>
      <c r="FR8" s="3319"/>
      <c r="FS8" s="3319"/>
      <c r="FT8" s="3319"/>
      <c r="FU8" s="3319"/>
      <c r="FV8" s="3319"/>
      <c r="FW8" s="3319"/>
      <c r="FX8" s="3319"/>
      <c r="FY8" s="3319"/>
      <c r="FZ8" s="3319"/>
      <c r="GA8" s="3319"/>
      <c r="GB8" s="3319"/>
      <c r="GC8" s="3319"/>
      <c r="GD8" s="3319"/>
      <c r="GE8" s="3319"/>
      <c r="GF8" s="3319"/>
      <c r="GG8" s="3319"/>
      <c r="GH8" s="3319"/>
      <c r="GI8" s="3319"/>
      <c r="GJ8" s="3319"/>
      <c r="GK8" s="3319"/>
      <c r="GL8" s="3319"/>
      <c r="GM8" s="3319"/>
      <c r="GN8" s="3319"/>
      <c r="GO8" s="3319"/>
      <c r="GP8" s="3319"/>
      <c r="GQ8" s="3319"/>
      <c r="GR8" s="3319"/>
      <c r="GS8" s="3319"/>
      <c r="GT8" s="3319"/>
      <c r="GU8" s="3319"/>
      <c r="GV8" s="3319"/>
      <c r="GW8" s="3319"/>
      <c r="GX8" s="3319"/>
      <c r="GY8" s="3319"/>
      <c r="GZ8" s="3319"/>
      <c r="HA8" s="3319"/>
      <c r="HB8" s="3319"/>
      <c r="HC8" s="3319"/>
      <c r="HD8" s="3319"/>
      <c r="HE8" s="3319"/>
      <c r="HF8" s="3319"/>
      <c r="HG8" s="3319"/>
      <c r="HH8" s="3319"/>
      <c r="HI8" s="3319"/>
      <c r="HJ8" s="3319"/>
      <c r="HK8" s="3319"/>
      <c r="HL8" s="3319"/>
      <c r="HM8" s="3319"/>
      <c r="HN8" s="3319"/>
      <c r="HO8" s="3319"/>
      <c r="HP8" s="3319"/>
      <c r="HQ8" s="3319"/>
      <c r="HR8" s="3319"/>
      <c r="HS8" s="3319"/>
      <c r="HT8" s="3319"/>
      <c r="HU8" s="3319"/>
      <c r="HV8" s="3319"/>
      <c r="HW8" s="3319"/>
      <c r="HX8" s="3319"/>
      <c r="HY8" s="3319"/>
      <c r="HZ8" s="3319" t="s">
        <v>1433</v>
      </c>
      <c r="IA8" s="2244" t="s">
        <v>2377</v>
      </c>
      <c r="IB8" s="2244" t="s">
        <v>2378</v>
      </c>
      <c r="IC8" s="2244" t="s">
        <v>2379</v>
      </c>
      <c r="ID8" s="2244" t="s">
        <v>2380</v>
      </c>
      <c r="IE8" s="3319" t="s">
        <v>2432</v>
      </c>
      <c r="IF8" s="3319" t="s">
        <v>2432</v>
      </c>
      <c r="IG8" s="3319" t="s">
        <v>2432</v>
      </c>
      <c r="IH8" s="3319" t="s">
        <v>2432</v>
      </c>
      <c r="II8" s="3319" t="s">
        <v>2432</v>
      </c>
      <c r="IJ8" s="3319" t="s">
        <v>3260</v>
      </c>
      <c r="IK8" s="3319" t="s">
        <v>3260</v>
      </c>
      <c r="IL8" s="3319" t="s">
        <v>3260</v>
      </c>
      <c r="IM8" s="3319" t="s">
        <v>3260</v>
      </c>
      <c r="IN8" s="3319" t="s">
        <v>3260</v>
      </c>
      <c r="IO8" s="2244" t="s">
        <v>551</v>
      </c>
      <c r="IP8" s="2244" t="s">
        <v>2377</v>
      </c>
      <c r="IQ8" s="2244" t="s">
        <v>2378</v>
      </c>
      <c r="IR8" s="2244" t="s">
        <v>2379</v>
      </c>
      <c r="IS8" s="2244" t="s">
        <v>2380</v>
      </c>
      <c r="IT8" s="2244" t="s">
        <v>551</v>
      </c>
      <c r="IU8" s="2244" t="s">
        <v>2377</v>
      </c>
      <c r="IV8" s="2244" t="s">
        <v>2378</v>
      </c>
      <c r="IW8" s="2244" t="s">
        <v>2379</v>
      </c>
      <c r="IX8" s="2244" t="s">
        <v>2380</v>
      </c>
      <c r="IY8" s="3319" t="s">
        <v>2434</v>
      </c>
      <c r="IZ8" s="3319" t="s">
        <v>2434</v>
      </c>
      <c r="JA8" s="3319" t="s">
        <v>2434</v>
      </c>
      <c r="JB8" s="3319" t="s">
        <v>2434</v>
      </c>
      <c r="JC8" s="3319" t="s">
        <v>2434</v>
      </c>
      <c r="JD8" s="3319" t="s">
        <v>3256</v>
      </c>
      <c r="JE8" s="3319" t="s">
        <v>3256</v>
      </c>
      <c r="JF8" s="3319" t="s">
        <v>3256</v>
      </c>
      <c r="JG8" s="3319" t="s">
        <v>3256</v>
      </c>
      <c r="JH8" s="3319" t="s">
        <v>3256</v>
      </c>
      <c r="JI8" s="3319" t="s">
        <v>352</v>
      </c>
      <c r="JJ8" s="3319" t="s">
        <v>352</v>
      </c>
      <c r="JK8" s="3319" t="s">
        <v>352</v>
      </c>
      <c r="JL8" s="3319" t="s">
        <v>352</v>
      </c>
      <c r="JM8" s="3319" t="s">
        <v>352</v>
      </c>
      <c r="JN8" s="3319" t="s">
        <v>3255</v>
      </c>
      <c r="JO8" s="3319" t="s">
        <v>3255</v>
      </c>
      <c r="JP8" s="3319" t="s">
        <v>3255</v>
      </c>
      <c r="JQ8" s="3319" t="s">
        <v>3255</v>
      </c>
      <c r="JR8" s="3319" t="s">
        <v>3255</v>
      </c>
      <c r="JS8" s="3319" t="s">
        <v>353</v>
      </c>
      <c r="JT8" s="3319" t="s">
        <v>353</v>
      </c>
      <c r="JU8" s="3319" t="s">
        <v>353</v>
      </c>
      <c r="JV8" s="3319" t="s">
        <v>353</v>
      </c>
      <c r="JW8" s="3319" t="s">
        <v>353</v>
      </c>
      <c r="JX8" s="3319" t="s">
        <v>3254</v>
      </c>
      <c r="JY8" s="3319" t="s">
        <v>3254</v>
      </c>
      <c r="JZ8" s="3319" t="s">
        <v>3254</v>
      </c>
      <c r="KA8" s="3319" t="s">
        <v>3254</v>
      </c>
      <c r="KB8" s="3319" t="s">
        <v>3254</v>
      </c>
      <c r="KC8" s="3319" t="s">
        <v>354</v>
      </c>
      <c r="KD8" s="3319" t="s">
        <v>354</v>
      </c>
      <c r="KE8" s="3319" t="s">
        <v>354</v>
      </c>
      <c r="KF8" s="3319" t="s">
        <v>354</v>
      </c>
      <c r="KG8" s="3319" t="s">
        <v>354</v>
      </c>
      <c r="KH8" s="3319" t="s">
        <v>3257</v>
      </c>
      <c r="KI8" s="3319" t="s">
        <v>3257</v>
      </c>
      <c r="KJ8" s="3319" t="s">
        <v>3257</v>
      </c>
      <c r="KK8" s="3319" t="s">
        <v>3257</v>
      </c>
      <c r="KL8" s="3319" t="s">
        <v>3257</v>
      </c>
      <c r="KM8" s="3319" t="s">
        <v>355</v>
      </c>
      <c r="KN8" s="3319" t="s">
        <v>355</v>
      </c>
      <c r="KO8" s="3319" t="s">
        <v>355</v>
      </c>
      <c r="KP8" s="3319" t="s">
        <v>355</v>
      </c>
      <c r="KQ8" s="3319" t="s">
        <v>355</v>
      </c>
      <c r="KR8" s="3319" t="s">
        <v>3258</v>
      </c>
      <c r="KS8" s="3319" t="s">
        <v>3258</v>
      </c>
      <c r="KT8" s="3319" t="s">
        <v>3258</v>
      </c>
      <c r="KU8" s="3319" t="s">
        <v>3258</v>
      </c>
      <c r="KV8" s="3319" t="s">
        <v>3258</v>
      </c>
      <c r="KW8" s="3319" t="s">
        <v>1432</v>
      </c>
      <c r="KX8" s="3319" t="s">
        <v>1432</v>
      </c>
      <c r="KY8" s="3319" t="s">
        <v>1432</v>
      </c>
      <c r="KZ8" s="3319" t="s">
        <v>1432</v>
      </c>
      <c r="LA8" s="3319" t="s">
        <v>1432</v>
      </c>
      <c r="LB8" s="3319" t="s">
        <v>3259</v>
      </c>
      <c r="LC8" s="3319" t="s">
        <v>3259</v>
      </c>
      <c r="LD8" s="3319" t="s">
        <v>3259</v>
      </c>
      <c r="LE8" s="3319" t="s">
        <v>3259</v>
      </c>
      <c r="LF8" s="3319" t="s">
        <v>3259</v>
      </c>
      <c r="LG8" s="3319" t="s">
        <v>4794</v>
      </c>
      <c r="LH8" s="3319" t="s">
        <v>4794</v>
      </c>
      <c r="LI8" s="3319" t="s">
        <v>4794</v>
      </c>
      <c r="LJ8" s="3319" t="s">
        <v>4794</v>
      </c>
      <c r="LK8" s="3319" t="s">
        <v>4794</v>
      </c>
      <c r="LL8" s="3319" t="s">
        <v>4795</v>
      </c>
      <c r="LM8" s="3319" t="s">
        <v>4795</v>
      </c>
      <c r="LN8" s="3319" t="s">
        <v>4795</v>
      </c>
      <c r="LO8" s="3319" t="s">
        <v>4795</v>
      </c>
      <c r="LP8" s="3319" t="s">
        <v>4795</v>
      </c>
      <c r="LQ8" s="3319"/>
      <c r="LR8" s="3319"/>
      <c r="LS8" s="3319"/>
      <c r="LT8" s="3319"/>
      <c r="LU8" s="3319"/>
      <c r="LV8" s="3319"/>
      <c r="LW8" s="3319"/>
      <c r="LX8" s="3319"/>
      <c r="LY8" s="3319"/>
      <c r="LZ8" s="3319"/>
      <c r="MA8" s="3319"/>
      <c r="MB8" s="3319"/>
      <c r="MC8" s="3319"/>
      <c r="MD8" s="3319"/>
      <c r="ME8" s="3319"/>
      <c r="MF8" s="3319"/>
      <c r="MG8" s="3319"/>
      <c r="MH8" s="3319"/>
      <c r="MI8" s="3319"/>
      <c r="MJ8" s="3319"/>
      <c r="MK8" s="3319"/>
      <c r="ML8" s="3319"/>
      <c r="MM8" s="3319"/>
      <c r="MN8" s="3319"/>
      <c r="MO8" s="3319"/>
      <c r="MP8" s="3319"/>
      <c r="MQ8" s="3319"/>
      <c r="MR8" s="3319"/>
      <c r="MS8" s="3319"/>
      <c r="MT8" s="3319"/>
      <c r="MU8" s="3357"/>
      <c r="MV8" s="3357"/>
      <c r="MW8" s="3357"/>
      <c r="MX8" s="3357"/>
      <c r="MY8" s="3357"/>
      <c r="MZ8" s="3319"/>
      <c r="NA8" s="3319"/>
      <c r="NB8" s="3319"/>
      <c r="NC8" s="3319"/>
      <c r="ND8" s="331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50"/>
      <c r="B9" s="1538" t="s">
        <v>4521</v>
      </c>
      <c r="C9" s="2375" t="s">
        <v>167</v>
      </c>
      <c r="D9" s="2375" t="s">
        <v>169</v>
      </c>
      <c r="E9" s="2375" t="s">
        <v>1446</v>
      </c>
      <c r="F9" s="2375" t="s">
        <v>1253</v>
      </c>
      <c r="G9" s="2375" t="s">
        <v>3492</v>
      </c>
      <c r="H9" s="2375" t="s">
        <v>1447</v>
      </c>
      <c r="I9" s="3318"/>
      <c r="J9" s="3354"/>
      <c r="K9" s="444" t="s">
        <v>344</v>
      </c>
      <c r="L9" s="2375" t="s">
        <v>1498</v>
      </c>
      <c r="M9" s="2375" t="s">
        <v>524</v>
      </c>
      <c r="N9" s="2375" t="s">
        <v>1445</v>
      </c>
      <c r="O9" s="2375" t="s">
        <v>3210</v>
      </c>
      <c r="P9" s="2375" t="s">
        <v>378</v>
      </c>
      <c r="Q9" s="3318"/>
      <c r="R9" s="2375" t="s">
        <v>1447</v>
      </c>
      <c r="S9" s="2375" t="s">
        <v>2618</v>
      </c>
      <c r="T9" s="31" t="s">
        <v>1799</v>
      </c>
      <c r="W9" s="31"/>
      <c r="X9" s="3343"/>
      <c r="Y9" s="3343"/>
      <c r="Z9" s="3343"/>
      <c r="AA9" s="3343"/>
      <c r="AB9" s="3343"/>
      <c r="AC9" s="3343"/>
      <c r="AD9" s="3343"/>
      <c r="AE9" s="3343"/>
      <c r="AF9" s="3343"/>
      <c r="AG9" s="3343"/>
      <c r="AH9" s="3343"/>
      <c r="AI9" s="3343"/>
      <c r="AJ9" s="3343"/>
      <c r="AK9" s="3343"/>
      <c r="AL9" s="3343"/>
      <c r="AM9" s="3343"/>
      <c r="AN9" s="3343"/>
      <c r="AO9" s="3343"/>
      <c r="AP9" s="3343"/>
      <c r="AQ9" s="3343"/>
      <c r="AR9" s="3343"/>
      <c r="AS9" s="3343"/>
      <c r="AT9" s="3343"/>
      <c r="AU9" s="3343"/>
      <c r="AV9" s="3343"/>
      <c r="AW9" s="3343"/>
      <c r="AX9" s="3343"/>
      <c r="AY9" s="3343"/>
      <c r="AZ9" s="3343"/>
      <c r="BA9" s="3343"/>
      <c r="BB9" s="3343"/>
      <c r="BC9" s="3343"/>
      <c r="BD9" s="3343"/>
      <c r="BE9" s="3343"/>
      <c r="BF9" s="3343"/>
      <c r="BG9" s="3343"/>
      <c r="BH9" s="3343"/>
      <c r="BI9" s="3343"/>
      <c r="BJ9" s="3343"/>
      <c r="BK9" s="3343"/>
      <c r="BL9" s="3343"/>
      <c r="BM9" s="3343"/>
      <c r="BN9" s="3343"/>
      <c r="BO9" s="3343"/>
      <c r="BP9" s="3343"/>
      <c r="BQ9" s="3343"/>
      <c r="BR9" s="3343"/>
      <c r="BS9" s="3343"/>
      <c r="BT9" s="3343"/>
      <c r="BU9" s="3343"/>
      <c r="BV9" s="3343"/>
      <c r="BW9" s="3343"/>
      <c r="BX9" s="3343"/>
      <c r="BY9" s="3343"/>
      <c r="BZ9" s="3343"/>
      <c r="CA9" s="3343"/>
      <c r="CB9" s="3343"/>
      <c r="CC9" s="3343"/>
      <c r="CD9" s="3343"/>
      <c r="CE9" s="3343"/>
      <c r="CF9" s="3343"/>
      <c r="CG9" s="3343"/>
      <c r="CH9" s="3343"/>
      <c r="CI9" s="3343"/>
      <c r="CJ9" s="3343"/>
      <c r="CK9" s="3343"/>
      <c r="CL9" s="3343"/>
      <c r="CM9" s="3343"/>
      <c r="CN9" s="3343"/>
      <c r="CO9" s="3343"/>
      <c r="CP9" s="3343"/>
      <c r="CQ9" s="3343"/>
      <c r="CR9" s="3343"/>
      <c r="CS9" s="3343"/>
      <c r="CT9" s="3343"/>
      <c r="CU9" s="3343"/>
      <c r="CV9" s="3343"/>
      <c r="CW9" s="3343"/>
      <c r="CX9" s="3343"/>
      <c r="CY9" s="3343"/>
      <c r="CZ9" s="3343"/>
      <c r="DA9" s="3343"/>
      <c r="DB9" s="3343"/>
      <c r="DC9" s="3343"/>
      <c r="DD9" s="3343"/>
      <c r="DE9" s="3343"/>
      <c r="DF9" s="3343"/>
      <c r="DG9" s="3343"/>
      <c r="DH9" s="3343"/>
      <c r="DI9" s="3343"/>
      <c r="DJ9" s="3343"/>
      <c r="DK9" s="3343"/>
      <c r="DL9" s="3343"/>
      <c r="DM9" s="3343"/>
      <c r="DN9" s="3343"/>
      <c r="DO9" s="3343"/>
      <c r="DP9" s="3343"/>
      <c r="DQ9" s="3343"/>
      <c r="DR9" s="3343"/>
      <c r="DS9" s="3343"/>
      <c r="DT9" s="3343"/>
      <c r="DU9" s="3343"/>
      <c r="DV9" s="3343"/>
      <c r="DW9" s="3343"/>
      <c r="DX9" s="3343"/>
      <c r="DY9" s="3343"/>
      <c r="DZ9" s="3343"/>
      <c r="EA9" s="3343"/>
      <c r="EB9" s="3343"/>
      <c r="EC9" s="3343"/>
      <c r="ED9" s="3343"/>
      <c r="EE9" s="3343"/>
      <c r="EF9" s="3343"/>
      <c r="EG9" s="3343"/>
      <c r="EH9" s="3343"/>
      <c r="EI9" s="3343"/>
      <c r="EJ9" s="3343"/>
      <c r="EK9" s="3343"/>
      <c r="EL9" s="3343"/>
      <c r="EM9" s="3343"/>
      <c r="EN9" s="3343"/>
      <c r="EO9" s="3343"/>
      <c r="EP9" s="3343"/>
      <c r="EQ9" s="3343"/>
      <c r="ER9" s="3343"/>
      <c r="ES9" s="3319"/>
      <c r="ET9" s="3319"/>
      <c r="EU9" s="3319"/>
      <c r="EV9" s="3319"/>
      <c r="EW9" s="3319"/>
      <c r="EX9" s="3319"/>
      <c r="EY9" s="3319"/>
      <c r="EZ9" s="3319"/>
      <c r="FA9" s="3319"/>
      <c r="FB9" s="3319"/>
      <c r="FC9" s="3343"/>
      <c r="FD9" s="3343"/>
      <c r="FE9" s="3343"/>
      <c r="FF9" s="3343"/>
      <c r="FG9" s="3343"/>
      <c r="FH9" s="3319"/>
      <c r="FI9" s="3319"/>
      <c r="FJ9" s="3319"/>
      <c r="FK9" s="3319"/>
      <c r="FL9" s="3319"/>
      <c r="FM9" s="3343"/>
      <c r="FN9" s="3343"/>
      <c r="FO9" s="3343"/>
      <c r="FP9" s="3343"/>
      <c r="FQ9" s="3343"/>
      <c r="FR9" s="3319"/>
      <c r="FS9" s="3319"/>
      <c r="FT9" s="3319"/>
      <c r="FU9" s="3319"/>
      <c r="FV9" s="3319"/>
      <c r="FW9" s="3319"/>
      <c r="FX9" s="3319"/>
      <c r="FY9" s="3319"/>
      <c r="FZ9" s="3319"/>
      <c r="GA9" s="3319"/>
      <c r="GB9" s="3319"/>
      <c r="GC9" s="3319"/>
      <c r="GD9" s="3319"/>
      <c r="GE9" s="3319"/>
      <c r="GF9" s="3319"/>
      <c r="GG9" s="3319"/>
      <c r="GH9" s="3319"/>
      <c r="GI9" s="3319"/>
      <c r="GJ9" s="3319"/>
      <c r="GK9" s="3319"/>
      <c r="GL9" s="3319"/>
      <c r="GM9" s="3319"/>
      <c r="GN9" s="3319"/>
      <c r="GO9" s="3319"/>
      <c r="GP9" s="3319"/>
      <c r="GQ9" s="3319"/>
      <c r="GR9" s="3319"/>
      <c r="GS9" s="3319"/>
      <c r="GT9" s="3319"/>
      <c r="GU9" s="3319"/>
      <c r="GV9" s="3319"/>
      <c r="GW9" s="3319"/>
      <c r="GX9" s="3319"/>
      <c r="GY9" s="3319"/>
      <c r="GZ9" s="3319"/>
      <c r="HA9" s="3319"/>
      <c r="HB9" s="3319"/>
      <c r="HC9" s="3319"/>
      <c r="HD9" s="3319"/>
      <c r="HE9" s="3319"/>
      <c r="HF9" s="3319"/>
      <c r="HG9" s="3319"/>
      <c r="HH9" s="3319"/>
      <c r="HI9" s="3319"/>
      <c r="HJ9" s="3319"/>
      <c r="HK9" s="3319"/>
      <c r="HL9" s="3319"/>
      <c r="HM9" s="3319"/>
      <c r="HN9" s="3319"/>
      <c r="HO9" s="3319"/>
      <c r="HP9" s="3319"/>
      <c r="HQ9" s="3319"/>
      <c r="HR9" s="3319"/>
      <c r="HS9" s="3319"/>
      <c r="HT9" s="3319"/>
      <c r="HU9" s="3319"/>
      <c r="HV9" s="3319"/>
      <c r="HW9" s="3319"/>
      <c r="HX9" s="3319"/>
      <c r="HY9" s="3319"/>
      <c r="HZ9" s="3319"/>
      <c r="IA9" s="2244" t="s">
        <v>2431</v>
      </c>
      <c r="IB9" s="2244" t="s">
        <v>2431</v>
      </c>
      <c r="IC9" s="2244" t="s">
        <v>2431</v>
      </c>
      <c r="ID9" s="2244" t="s">
        <v>2431</v>
      </c>
      <c r="IE9" s="3319"/>
      <c r="IF9" s="3319"/>
      <c r="IG9" s="3319"/>
      <c r="IH9" s="3319"/>
      <c r="II9" s="3319"/>
      <c r="IJ9" s="3319"/>
      <c r="IK9" s="3319"/>
      <c r="IL9" s="3319"/>
      <c r="IM9" s="3319"/>
      <c r="IN9" s="3319"/>
      <c r="IO9" s="2244" t="s">
        <v>2433</v>
      </c>
      <c r="IP9" s="2244" t="s">
        <v>2433</v>
      </c>
      <c r="IQ9" s="2244" t="s">
        <v>2433</v>
      </c>
      <c r="IR9" s="2244" t="s">
        <v>2433</v>
      </c>
      <c r="IS9" s="2244" t="s">
        <v>2433</v>
      </c>
      <c r="IT9" s="2244" t="s">
        <v>3261</v>
      </c>
      <c r="IU9" s="2244" t="s">
        <v>3261</v>
      </c>
      <c r="IV9" s="2244" t="s">
        <v>3261</v>
      </c>
      <c r="IW9" s="2244" t="s">
        <v>3261</v>
      </c>
      <c r="IX9" s="2244" t="s">
        <v>3261</v>
      </c>
      <c r="IY9" s="3319"/>
      <c r="IZ9" s="3319"/>
      <c r="JA9" s="3319"/>
      <c r="JB9" s="3319"/>
      <c r="JC9" s="3319"/>
      <c r="JD9" s="3319"/>
      <c r="JE9" s="3319"/>
      <c r="JF9" s="3319"/>
      <c r="JG9" s="3319"/>
      <c r="JH9" s="3319"/>
      <c r="JI9" s="3319"/>
      <c r="JJ9" s="3319"/>
      <c r="JK9" s="3319"/>
      <c r="JL9" s="3319"/>
      <c r="JM9" s="3319"/>
      <c r="JN9" s="3319"/>
      <c r="JO9" s="3319"/>
      <c r="JP9" s="3319"/>
      <c r="JQ9" s="3319"/>
      <c r="JR9" s="3319"/>
      <c r="JS9" s="3319"/>
      <c r="JT9" s="3319"/>
      <c r="JU9" s="3319"/>
      <c r="JV9" s="3319"/>
      <c r="JW9" s="3319"/>
      <c r="JX9" s="3319"/>
      <c r="JY9" s="3319"/>
      <c r="JZ9" s="3319"/>
      <c r="KA9" s="3319"/>
      <c r="KB9" s="3319"/>
      <c r="KC9" s="3319"/>
      <c r="KD9" s="3319"/>
      <c r="KE9" s="3319"/>
      <c r="KF9" s="3319"/>
      <c r="KG9" s="3319"/>
      <c r="KH9" s="3319"/>
      <c r="KI9" s="3319"/>
      <c r="KJ9" s="3319"/>
      <c r="KK9" s="3319"/>
      <c r="KL9" s="3319"/>
      <c r="KM9" s="3319"/>
      <c r="KN9" s="3319"/>
      <c r="KO9" s="3319"/>
      <c r="KP9" s="3319"/>
      <c r="KQ9" s="3319"/>
      <c r="KR9" s="3319"/>
      <c r="KS9" s="3319"/>
      <c r="KT9" s="3319"/>
      <c r="KU9" s="3319"/>
      <c r="KV9" s="3319"/>
      <c r="KW9" s="3319"/>
      <c r="KX9" s="3319"/>
      <c r="KY9" s="3319"/>
      <c r="KZ9" s="3319"/>
      <c r="LA9" s="3319"/>
      <c r="LB9" s="3319"/>
      <c r="LC9" s="3319"/>
      <c r="LD9" s="3319"/>
      <c r="LE9" s="3319"/>
      <c r="LF9" s="3319"/>
      <c r="LG9" s="3319"/>
      <c r="LH9" s="3319"/>
      <c r="LI9" s="3319"/>
      <c r="LJ9" s="3319"/>
      <c r="LK9" s="3319"/>
      <c r="LL9" s="3319"/>
      <c r="LM9" s="3319"/>
      <c r="LN9" s="3319"/>
      <c r="LO9" s="3319"/>
      <c r="LP9" s="3319"/>
      <c r="LQ9" s="3319"/>
      <c r="LR9" s="3319"/>
      <c r="LS9" s="3319"/>
      <c r="LT9" s="3319"/>
      <c r="LU9" s="3319"/>
      <c r="LV9" s="3319"/>
      <c r="LW9" s="3319"/>
      <c r="LX9" s="3319"/>
      <c r="LY9" s="3319"/>
      <c r="LZ9" s="3319"/>
      <c r="MA9" s="3319"/>
      <c r="MB9" s="3319"/>
      <c r="MC9" s="3319"/>
      <c r="MD9" s="3319"/>
      <c r="ME9" s="3319"/>
      <c r="MF9" s="3319"/>
      <c r="MG9" s="3319"/>
      <c r="MH9" s="3319"/>
      <c r="MI9" s="3319"/>
      <c r="MJ9" s="3319"/>
      <c r="MK9" s="3319"/>
      <c r="ML9" s="3319"/>
      <c r="MM9" s="3319"/>
      <c r="MN9" s="3319"/>
      <c r="MO9" s="3319"/>
      <c r="MP9" s="3319"/>
      <c r="MQ9" s="3319"/>
      <c r="MR9" s="3319"/>
      <c r="MS9" s="3319"/>
      <c r="MT9" s="3319"/>
      <c r="MU9" s="3357"/>
      <c r="MV9" s="3357"/>
      <c r="MW9" s="3357"/>
      <c r="MX9" s="3357"/>
      <c r="MY9" s="3357"/>
      <c r="MZ9" s="3319"/>
      <c r="NA9" s="3319"/>
      <c r="NB9" s="3319"/>
      <c r="NC9" s="3319"/>
      <c r="ND9" s="331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4" t="s">
        <v>4119</v>
      </c>
      <c r="C10" s="2535"/>
      <c r="D10" s="2536"/>
      <c r="E10" s="2537"/>
      <c r="F10" s="2537"/>
      <c r="G10" s="2537"/>
      <c r="H10" s="2537"/>
      <c r="I10" s="2538"/>
      <c r="J10" s="2539"/>
      <c r="K10" s="2540"/>
      <c r="L10" s="566">
        <f t="shared" ref="L10:L47" si="0">MAX(0,H10-I10-J10)</f>
        <v>0</v>
      </c>
      <c r="M10" s="566">
        <f t="shared" ref="M10:M47" si="1">MAX(0,E10*L10)</f>
        <v>0</v>
      </c>
      <c r="N10" s="2541"/>
      <c r="O10" s="2541"/>
      <c r="P10" s="2541"/>
      <c r="Q10" s="2542"/>
      <c r="R10" s="2543"/>
      <c r="S10" s="2544"/>
      <c r="T10" s="3340"/>
      <c r="U10" s="3341"/>
      <c r="V10" s="3341"/>
      <c r="W10" s="334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2545" t="s">
        <v>4119</v>
      </c>
      <c r="C11" s="2546"/>
      <c r="D11" s="2547"/>
      <c r="E11" s="2548"/>
      <c r="F11" s="2548"/>
      <c r="G11" s="2548"/>
      <c r="H11" s="2548"/>
      <c r="I11" s="2548"/>
      <c r="J11" s="2549"/>
      <c r="K11" s="2550"/>
      <c r="L11" s="567">
        <f t="shared" si="0"/>
        <v>0</v>
      </c>
      <c r="M11" s="567">
        <f t="shared" si="1"/>
        <v>0</v>
      </c>
      <c r="N11" s="2551"/>
      <c r="O11" s="2551"/>
      <c r="P11" s="2551"/>
      <c r="Q11" s="2552"/>
      <c r="R11" s="2553"/>
      <c r="S11" s="2554"/>
      <c r="T11" s="3325"/>
      <c r="U11" s="3326"/>
      <c r="V11" s="3326"/>
      <c r="W11" s="332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2545" t="s">
        <v>298</v>
      </c>
      <c r="C12" s="2546"/>
      <c r="D12" s="2547"/>
      <c r="E12" s="2548"/>
      <c r="F12" s="2548"/>
      <c r="G12" s="2548"/>
      <c r="H12" s="2548"/>
      <c r="I12" s="2548"/>
      <c r="J12" s="2549"/>
      <c r="K12" s="2550"/>
      <c r="L12" s="567">
        <f t="shared" si="0"/>
        <v>0</v>
      </c>
      <c r="M12" s="567">
        <f t="shared" si="1"/>
        <v>0</v>
      </c>
      <c r="N12" s="2551"/>
      <c r="O12" s="2551"/>
      <c r="P12" s="2551"/>
      <c r="Q12" s="2552"/>
      <c r="R12" s="2553"/>
      <c r="S12" s="2554"/>
      <c r="T12" s="3325"/>
      <c r="U12" s="3326"/>
      <c r="V12" s="3326"/>
      <c r="W12" s="332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2545" t="s">
        <v>298</v>
      </c>
      <c r="C13" s="2546"/>
      <c r="D13" s="2547"/>
      <c r="E13" s="2548"/>
      <c r="F13" s="2548"/>
      <c r="G13" s="2548"/>
      <c r="H13" s="2548"/>
      <c r="I13" s="2548"/>
      <c r="J13" s="2549"/>
      <c r="K13" s="2550"/>
      <c r="L13" s="567">
        <f t="shared" si="0"/>
        <v>0</v>
      </c>
      <c r="M13" s="567">
        <f t="shared" si="1"/>
        <v>0</v>
      </c>
      <c r="N13" s="2551"/>
      <c r="O13" s="2551"/>
      <c r="P13" s="2551"/>
      <c r="Q13" s="2552"/>
      <c r="R13" s="2553"/>
      <c r="S13" s="2554"/>
      <c r="T13" s="3325"/>
      <c r="U13" s="3326"/>
      <c r="V13" s="3326"/>
      <c r="W13" s="332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2545" t="s">
        <v>298</v>
      </c>
      <c r="C14" s="2546"/>
      <c r="D14" s="2547"/>
      <c r="E14" s="2548"/>
      <c r="F14" s="2548"/>
      <c r="G14" s="2548"/>
      <c r="H14" s="2548"/>
      <c r="I14" s="2548"/>
      <c r="J14" s="2549"/>
      <c r="K14" s="2550"/>
      <c r="L14" s="567">
        <f t="shared" si="0"/>
        <v>0</v>
      </c>
      <c r="M14" s="567">
        <f t="shared" si="1"/>
        <v>0</v>
      </c>
      <c r="N14" s="2551"/>
      <c r="O14" s="2551"/>
      <c r="P14" s="2551"/>
      <c r="Q14" s="2552"/>
      <c r="R14" s="2553"/>
      <c r="S14" s="2554"/>
      <c r="T14" s="3325"/>
      <c r="U14" s="3326"/>
      <c r="V14" s="3326"/>
      <c r="W14" s="332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2545" t="s">
        <v>298</v>
      </c>
      <c r="C15" s="2546"/>
      <c r="D15" s="2547"/>
      <c r="E15" s="2548"/>
      <c r="F15" s="2548"/>
      <c r="G15" s="2548"/>
      <c r="H15" s="2548"/>
      <c r="I15" s="2548"/>
      <c r="J15" s="2549"/>
      <c r="K15" s="2550"/>
      <c r="L15" s="567">
        <f t="shared" si="0"/>
        <v>0</v>
      </c>
      <c r="M15" s="567">
        <f t="shared" si="1"/>
        <v>0</v>
      </c>
      <c r="N15" s="2551"/>
      <c r="O15" s="2551"/>
      <c r="P15" s="2551"/>
      <c r="Q15" s="2552"/>
      <c r="R15" s="2553"/>
      <c r="S15" s="2554"/>
      <c r="T15" s="3325"/>
      <c r="U15" s="3326"/>
      <c r="V15" s="3326"/>
      <c r="W15" s="332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2555" t="s">
        <v>298</v>
      </c>
      <c r="C16" s="2556"/>
      <c r="D16" s="2557"/>
      <c r="E16" s="2558"/>
      <c r="F16" s="2558"/>
      <c r="G16" s="2558"/>
      <c r="H16" s="2558"/>
      <c r="I16" s="2558"/>
      <c r="J16" s="2559"/>
      <c r="K16" s="2560"/>
      <c r="L16" s="1338">
        <f t="shared" si="0"/>
        <v>0</v>
      </c>
      <c r="M16" s="1338">
        <f t="shared" si="1"/>
        <v>0</v>
      </c>
      <c r="N16" s="2561"/>
      <c r="O16" s="2561"/>
      <c r="P16" s="2561"/>
      <c r="Q16" s="2562"/>
      <c r="R16" s="2553"/>
      <c r="S16" s="2554"/>
      <c r="T16" s="3325"/>
      <c r="U16" s="3326"/>
      <c r="V16" s="3326"/>
      <c r="W16" s="332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f t="shared" si="337"/>
        <v>1</v>
      </c>
      <c r="B17" s="2563">
        <v>50</v>
      </c>
      <c r="C17" s="2564">
        <v>1</v>
      </c>
      <c r="D17" s="2565">
        <v>1</v>
      </c>
      <c r="E17" s="2566">
        <v>2</v>
      </c>
      <c r="F17" s="2548">
        <v>830</v>
      </c>
      <c r="G17" s="2566">
        <v>568</v>
      </c>
      <c r="H17" s="2566">
        <v>460</v>
      </c>
      <c r="I17" s="2566"/>
      <c r="J17" s="2567">
        <f>IF(C17="",0,HLOOKUP(C17,'Part V-Utility Allowances'!$I$11:$M$22,12))</f>
        <v>105</v>
      </c>
      <c r="K17" s="2568"/>
      <c r="L17" s="1337">
        <f t="shared" si="0"/>
        <v>355</v>
      </c>
      <c r="M17" s="1337">
        <f t="shared" si="1"/>
        <v>710</v>
      </c>
      <c r="N17" s="2569" t="s">
        <v>2889</v>
      </c>
      <c r="O17" s="2569" t="s">
        <v>7083</v>
      </c>
      <c r="P17" s="2569" t="s">
        <v>2237</v>
      </c>
      <c r="Q17" s="2570" t="s">
        <v>2889</v>
      </c>
      <c r="R17" s="2553"/>
      <c r="S17" s="2554"/>
      <c r="T17" s="3325"/>
      <c r="U17" s="3326"/>
      <c r="V17" s="3326"/>
      <c r="W17" s="332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1660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2</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f t="shared" si="278"/>
        <v>2</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2</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f t="shared" si="337"/>
        <v>1</v>
      </c>
      <c r="B18" s="2563">
        <v>50</v>
      </c>
      <c r="C18" s="2546">
        <v>2</v>
      </c>
      <c r="D18" s="2547">
        <v>2</v>
      </c>
      <c r="E18" s="2548">
        <v>6</v>
      </c>
      <c r="F18" s="2548">
        <v>1055</v>
      </c>
      <c r="G18" s="2548">
        <v>681</v>
      </c>
      <c r="H18" s="2548">
        <v>549</v>
      </c>
      <c r="I18" s="2548"/>
      <c r="J18" s="2571">
        <f>IF(C18="",0,HLOOKUP(C18,'Part V-Utility Allowances'!$I$11:$M$22,12))</f>
        <v>129</v>
      </c>
      <c r="K18" s="2550"/>
      <c r="L18" s="567">
        <f t="shared" si="0"/>
        <v>420</v>
      </c>
      <c r="M18" s="567">
        <f t="shared" si="1"/>
        <v>2520</v>
      </c>
      <c r="N18" s="2551" t="s">
        <v>2889</v>
      </c>
      <c r="O18" s="2551" t="s">
        <v>7083</v>
      </c>
      <c r="P18" s="2551" t="s">
        <v>2237</v>
      </c>
      <c r="Q18" s="2552" t="s">
        <v>2889</v>
      </c>
      <c r="R18" s="2553"/>
      <c r="S18" s="2554"/>
      <c r="T18" s="3325"/>
      <c r="U18" s="3326"/>
      <c r="V18" s="3326"/>
      <c r="W18" s="332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6</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6330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6</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f t="shared" si="279"/>
        <v>6</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6</v>
      </c>
      <c r="MX18" s="2244">
        <f t="shared" si="346"/>
        <v>0</v>
      </c>
      <c r="MY18" s="2244">
        <f t="shared" si="347"/>
        <v>0</v>
      </c>
      <c r="MZ18" s="2244">
        <f t="shared" si="332"/>
        <v>0</v>
      </c>
      <c r="NA18" s="2244">
        <f t="shared" si="333"/>
        <v>0</v>
      </c>
      <c r="NB18" s="2244">
        <f t="shared" si="334"/>
        <v>0</v>
      </c>
      <c r="NC18" s="2244">
        <f t="shared" si="335"/>
        <v>0</v>
      </c>
      <c r="ND18" s="2244">
        <f t="shared" si="336"/>
        <v>0</v>
      </c>
    </row>
    <row r="19" spans="1:368" ht="13.95" customHeight="1">
      <c r="A19" s="109">
        <f t="shared" si="337"/>
        <v>1</v>
      </c>
      <c r="B19" s="2563">
        <v>50</v>
      </c>
      <c r="C19" s="2546">
        <v>3</v>
      </c>
      <c r="D19" s="2547">
        <v>2</v>
      </c>
      <c r="E19" s="2548">
        <v>4</v>
      </c>
      <c r="F19" s="2548">
        <v>1301</v>
      </c>
      <c r="G19" s="2548">
        <v>787</v>
      </c>
      <c r="H19" s="2548">
        <v>638</v>
      </c>
      <c r="I19" s="2548"/>
      <c r="J19" s="2571">
        <f>IF(C19="",0,HLOOKUP(C19,'Part V-Utility Allowances'!$I$11:$M$22,12))</f>
        <v>163</v>
      </c>
      <c r="K19" s="2550"/>
      <c r="L19" s="567">
        <f t="shared" si="0"/>
        <v>475</v>
      </c>
      <c r="M19" s="567">
        <f t="shared" si="1"/>
        <v>1900</v>
      </c>
      <c r="N19" s="2551" t="s">
        <v>2889</v>
      </c>
      <c r="O19" s="2551" t="s">
        <v>7083</v>
      </c>
      <c r="P19" s="2551" t="s">
        <v>2237</v>
      </c>
      <c r="Q19" s="2552" t="s">
        <v>2889</v>
      </c>
      <c r="R19" s="2553"/>
      <c r="S19" s="2554"/>
      <c r="T19" s="3325"/>
      <c r="U19" s="3326"/>
      <c r="V19" s="3326"/>
      <c r="W19" s="332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4</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5204</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4</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f t="shared" si="215"/>
        <v>4</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f t="shared" si="280"/>
        <v>4</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4</v>
      </c>
      <c r="MY19" s="2244">
        <f t="shared" si="347"/>
        <v>0</v>
      </c>
      <c r="MZ19" s="2244">
        <f t="shared" si="332"/>
        <v>0</v>
      </c>
      <c r="NA19" s="2244">
        <f t="shared" si="333"/>
        <v>0</v>
      </c>
      <c r="NB19" s="2244">
        <f t="shared" si="334"/>
        <v>0</v>
      </c>
      <c r="NC19" s="2244">
        <f t="shared" si="335"/>
        <v>0</v>
      </c>
      <c r="ND19" s="2244">
        <f t="shared" si="336"/>
        <v>0</v>
      </c>
    </row>
    <row r="20" spans="1:368" ht="13.95" customHeight="1">
      <c r="A20" s="109">
        <f t="shared" si="337"/>
        <v>1</v>
      </c>
      <c r="B20" s="2572">
        <v>60</v>
      </c>
      <c r="C20" s="2546">
        <v>1</v>
      </c>
      <c r="D20" s="2547">
        <v>1</v>
      </c>
      <c r="E20" s="2548">
        <v>6</v>
      </c>
      <c r="F20" s="2548">
        <v>830</v>
      </c>
      <c r="G20" s="2566">
        <v>681</v>
      </c>
      <c r="H20" s="2548">
        <v>497</v>
      </c>
      <c r="I20" s="2548"/>
      <c r="J20" s="2571">
        <f>IF(C20="",0,HLOOKUP(C20,'Part V-Utility Allowances'!$I$11:$M$22,12))</f>
        <v>105</v>
      </c>
      <c r="K20" s="2550"/>
      <c r="L20" s="567">
        <f t="shared" si="0"/>
        <v>392</v>
      </c>
      <c r="M20" s="567">
        <f t="shared" si="1"/>
        <v>2352</v>
      </c>
      <c r="N20" s="2551" t="s">
        <v>2889</v>
      </c>
      <c r="O20" s="2551" t="s">
        <v>7083</v>
      </c>
      <c r="P20" s="2551" t="s">
        <v>2237</v>
      </c>
      <c r="Q20" s="2552" t="s">
        <v>2889</v>
      </c>
      <c r="R20" s="2553"/>
      <c r="S20" s="2554"/>
      <c r="T20" s="3325"/>
      <c r="U20" s="3326"/>
      <c r="V20" s="3326"/>
      <c r="W20" s="332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6</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4980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6</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6</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f t="shared" si="278"/>
        <v>6</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6</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f t="shared" si="337"/>
        <v>1</v>
      </c>
      <c r="B21" s="2572">
        <v>60</v>
      </c>
      <c r="C21" s="2546">
        <v>2</v>
      </c>
      <c r="D21" s="2547">
        <v>2</v>
      </c>
      <c r="E21" s="2548">
        <v>30</v>
      </c>
      <c r="F21" s="2548">
        <v>1055</v>
      </c>
      <c r="G21" s="2548">
        <v>817</v>
      </c>
      <c r="H21" s="2548">
        <v>654</v>
      </c>
      <c r="I21" s="2548"/>
      <c r="J21" s="2571">
        <f>IF(C21="",0,HLOOKUP(C21,'Part V-Utility Allowances'!$I$11:$M$22,12))</f>
        <v>129</v>
      </c>
      <c r="K21" s="2550"/>
      <c r="L21" s="567">
        <f t="shared" si="0"/>
        <v>525</v>
      </c>
      <c r="M21" s="567">
        <f t="shared" si="1"/>
        <v>15750</v>
      </c>
      <c r="N21" s="2551" t="s">
        <v>2889</v>
      </c>
      <c r="O21" s="2551" t="s">
        <v>7083</v>
      </c>
      <c r="P21" s="2551" t="s">
        <v>2237</v>
      </c>
      <c r="Q21" s="2552" t="s">
        <v>2889</v>
      </c>
      <c r="R21" s="2553"/>
      <c r="S21" s="2554"/>
      <c r="T21" s="3325"/>
      <c r="U21" s="3326"/>
      <c r="V21" s="3326"/>
      <c r="W21" s="3327"/>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30</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31650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30</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f t="shared" si="214"/>
        <v>30</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f t="shared" si="279"/>
        <v>30</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30</v>
      </c>
      <c r="MX21" s="2244">
        <f t="shared" si="346"/>
        <v>0</v>
      </c>
      <c r="MY21" s="2244">
        <f t="shared" si="347"/>
        <v>0</v>
      </c>
      <c r="MZ21" s="2244">
        <f t="shared" si="332"/>
        <v>0</v>
      </c>
      <c r="NA21" s="2244">
        <f t="shared" si="333"/>
        <v>0</v>
      </c>
      <c r="NB21" s="2244">
        <f t="shared" si="334"/>
        <v>0</v>
      </c>
      <c r="NC21" s="2244">
        <f t="shared" si="335"/>
        <v>0</v>
      </c>
      <c r="ND21" s="2244">
        <f t="shared" si="336"/>
        <v>0</v>
      </c>
    </row>
    <row r="22" spans="1:368" ht="13.95" customHeight="1">
      <c r="A22" s="109">
        <f t="shared" si="337"/>
        <v>1</v>
      </c>
      <c r="B22" s="2572">
        <v>60</v>
      </c>
      <c r="C22" s="2546">
        <v>3</v>
      </c>
      <c r="D22" s="2547">
        <v>2</v>
      </c>
      <c r="E22" s="2548">
        <v>12</v>
      </c>
      <c r="F22" s="2548">
        <v>1301</v>
      </c>
      <c r="G22" s="2548">
        <v>945</v>
      </c>
      <c r="H22" s="2548">
        <v>745</v>
      </c>
      <c r="I22" s="2548"/>
      <c r="J22" s="2571">
        <f>IF(C22="",0,HLOOKUP(C22,'Part V-Utility Allowances'!$I$11:$M$22,12))</f>
        <v>163</v>
      </c>
      <c r="K22" s="2550"/>
      <c r="L22" s="567">
        <f t="shared" si="0"/>
        <v>582</v>
      </c>
      <c r="M22" s="567">
        <f t="shared" si="1"/>
        <v>6984</v>
      </c>
      <c r="N22" s="2551" t="s">
        <v>2889</v>
      </c>
      <c r="O22" s="2551" t="s">
        <v>7083</v>
      </c>
      <c r="P22" s="2551" t="s">
        <v>2237</v>
      </c>
      <c r="Q22" s="2552" t="s">
        <v>2889</v>
      </c>
      <c r="R22" s="2553"/>
      <c r="S22" s="2554"/>
      <c r="T22" s="3325"/>
      <c r="U22" s="3326"/>
      <c r="V22" s="3326"/>
      <c r="W22" s="3327"/>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12</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15612</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12</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f t="shared" si="215"/>
        <v>12</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f t="shared" si="280"/>
        <v>12</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12</v>
      </c>
      <c r="MY22" s="2244">
        <f t="shared" si="347"/>
        <v>0</v>
      </c>
      <c r="MZ22" s="2244">
        <f t="shared" si="332"/>
        <v>0</v>
      </c>
      <c r="NA22" s="2244">
        <f t="shared" si="333"/>
        <v>0</v>
      </c>
      <c r="NB22" s="2244">
        <f t="shared" si="334"/>
        <v>0</v>
      </c>
      <c r="NC22" s="2244">
        <f t="shared" si="335"/>
        <v>0</v>
      </c>
      <c r="ND22" s="2244">
        <f t="shared" si="336"/>
        <v>0</v>
      </c>
    </row>
    <row r="23" spans="1:368" ht="13.95" customHeight="1">
      <c r="A23" s="109" t="str">
        <f t="shared" si="337"/>
        <v/>
      </c>
      <c r="B23" s="2572"/>
      <c r="C23" s="2546"/>
      <c r="D23" s="2547"/>
      <c r="E23" s="2548"/>
      <c r="F23" s="2548"/>
      <c r="G23" s="2548"/>
      <c r="H23" s="2548"/>
      <c r="I23" s="2548"/>
      <c r="J23" s="2571">
        <f>IF(C23="",0,HLOOKUP(C23,'Part V-Utility Allowances'!$I$11:$M$22,12))</f>
        <v>0</v>
      </c>
      <c r="K23" s="2550"/>
      <c r="L23" s="567">
        <f t="shared" si="0"/>
        <v>0</v>
      </c>
      <c r="M23" s="567">
        <f t="shared" si="1"/>
        <v>0</v>
      </c>
      <c r="N23" s="2551"/>
      <c r="O23" s="2551"/>
      <c r="P23" s="2551"/>
      <c r="Q23" s="2552"/>
      <c r="R23" s="2553"/>
      <c r="S23" s="2554"/>
      <c r="T23" s="3325"/>
      <c r="U23" s="3326"/>
      <c r="V23" s="3326"/>
      <c r="W23" s="3327"/>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t="str">
        <f t="shared" si="337"/>
        <v/>
      </c>
      <c r="B24" s="2572"/>
      <c r="C24" s="2546"/>
      <c r="D24" s="2547"/>
      <c r="E24" s="2548"/>
      <c r="F24" s="2548"/>
      <c r="G24" s="2548"/>
      <c r="H24" s="2548"/>
      <c r="I24" s="2548"/>
      <c r="J24" s="2571">
        <f>IF(C24="",0,HLOOKUP(C24,'Part V-Utility Allowances'!$I$11:$M$22,12))</f>
        <v>0</v>
      </c>
      <c r="K24" s="2550"/>
      <c r="L24" s="567">
        <f t="shared" si="0"/>
        <v>0</v>
      </c>
      <c r="M24" s="567">
        <f t="shared" si="1"/>
        <v>0</v>
      </c>
      <c r="N24" s="2551"/>
      <c r="O24" s="2551"/>
      <c r="P24" s="2551"/>
      <c r="Q24" s="2552"/>
      <c r="R24" s="2553"/>
      <c r="S24" s="2554"/>
      <c r="T24" s="3325"/>
      <c r="U24" s="3326"/>
      <c r="V24" s="3326"/>
      <c r="W24" s="3327"/>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8" ht="13.95" customHeight="1">
      <c r="A25" s="109" t="str">
        <f t="shared" si="337"/>
        <v/>
      </c>
      <c r="B25" s="2572"/>
      <c r="C25" s="2546"/>
      <c r="D25" s="2547"/>
      <c r="E25" s="2548"/>
      <c r="F25" s="2548"/>
      <c r="G25" s="2548"/>
      <c r="H25" s="2548"/>
      <c r="I25" s="2548"/>
      <c r="J25" s="2571">
        <f>IF(C25="",0,HLOOKUP(C25,'Part V-Utility Allowances'!$I$11:$M$22,12))</f>
        <v>0</v>
      </c>
      <c r="K25" s="2550"/>
      <c r="L25" s="567">
        <f t="shared" si="0"/>
        <v>0</v>
      </c>
      <c r="M25" s="567">
        <f t="shared" si="1"/>
        <v>0</v>
      </c>
      <c r="N25" s="2551"/>
      <c r="O25" s="2551"/>
      <c r="P25" s="2551"/>
      <c r="Q25" s="2552"/>
      <c r="R25" s="2553"/>
      <c r="S25" s="2554"/>
      <c r="T25" s="3325"/>
      <c r="U25" s="3326"/>
      <c r="V25" s="3326"/>
      <c r="W25" s="332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8" ht="13.95" customHeight="1">
      <c r="A26" s="109" t="str">
        <f t="shared" si="337"/>
        <v/>
      </c>
      <c r="B26" s="2572"/>
      <c r="C26" s="2546"/>
      <c r="D26" s="2547"/>
      <c r="E26" s="2548"/>
      <c r="F26" s="2548"/>
      <c r="G26" s="2548"/>
      <c r="H26" s="2548"/>
      <c r="I26" s="2548"/>
      <c r="J26" s="2571">
        <f>IF(C26="",0,HLOOKUP(C26,'Part V-Utility Allowances'!$I$11:$M$22,12))</f>
        <v>0</v>
      </c>
      <c r="K26" s="2550"/>
      <c r="L26" s="567">
        <f t="shared" si="0"/>
        <v>0</v>
      </c>
      <c r="M26" s="567">
        <f t="shared" si="1"/>
        <v>0</v>
      </c>
      <c r="N26" s="2551"/>
      <c r="O26" s="2551"/>
      <c r="P26" s="2551"/>
      <c r="Q26" s="2552"/>
      <c r="R26" s="2553"/>
      <c r="S26" s="2554"/>
      <c r="T26" s="3325"/>
      <c r="U26" s="3326"/>
      <c r="V26" s="3326"/>
      <c r="W26" s="332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t="str">
        <f t="shared" si="337"/>
        <v/>
      </c>
      <c r="B27" s="2572"/>
      <c r="C27" s="2546"/>
      <c r="D27" s="2547"/>
      <c r="E27" s="2548"/>
      <c r="F27" s="2548"/>
      <c r="G27" s="2548"/>
      <c r="H27" s="2548"/>
      <c r="I27" s="2548"/>
      <c r="J27" s="2571">
        <f>IF(C27="",0,HLOOKUP(C27,'Part V-Utility Allowances'!$I$11:$M$22,12))</f>
        <v>0</v>
      </c>
      <c r="K27" s="2550"/>
      <c r="L27" s="567">
        <f t="shared" si="0"/>
        <v>0</v>
      </c>
      <c r="M27" s="567">
        <f t="shared" si="1"/>
        <v>0</v>
      </c>
      <c r="N27" s="2551"/>
      <c r="O27" s="2551"/>
      <c r="P27" s="2551"/>
      <c r="Q27" s="2552"/>
      <c r="R27" s="2553"/>
      <c r="S27" s="2554"/>
      <c r="T27" s="3325"/>
      <c r="U27" s="3326"/>
      <c r="V27" s="3326"/>
      <c r="W27" s="332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8" ht="13.95" customHeight="1">
      <c r="A28" s="109" t="str">
        <f t="shared" si="337"/>
        <v/>
      </c>
      <c r="B28" s="2572"/>
      <c r="C28" s="2546"/>
      <c r="D28" s="2547"/>
      <c r="E28" s="2548"/>
      <c r="F28" s="2548"/>
      <c r="G28" s="2548"/>
      <c r="H28" s="2548"/>
      <c r="I28" s="2548"/>
      <c r="J28" s="2571">
        <f>IF(C28="",0,HLOOKUP(C28,'Part V-Utility Allowances'!$I$11:$M$22,12))</f>
        <v>0</v>
      </c>
      <c r="K28" s="2550"/>
      <c r="L28" s="567">
        <f t="shared" si="0"/>
        <v>0</v>
      </c>
      <c r="M28" s="567">
        <f t="shared" si="1"/>
        <v>0</v>
      </c>
      <c r="N28" s="2551"/>
      <c r="O28" s="2551"/>
      <c r="P28" s="2551"/>
      <c r="Q28" s="2552"/>
      <c r="R28" s="2553"/>
      <c r="S28" s="2554"/>
      <c r="T28" s="3325"/>
      <c r="U28" s="3326"/>
      <c r="V28" s="3326"/>
      <c r="W28" s="332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8" ht="13.95" customHeight="1">
      <c r="A29" s="109" t="str">
        <f t="shared" si="337"/>
        <v/>
      </c>
      <c r="B29" s="2572"/>
      <c r="C29" s="2546"/>
      <c r="D29" s="2547"/>
      <c r="E29" s="2548"/>
      <c r="F29" s="2548"/>
      <c r="G29" s="2548"/>
      <c r="H29" s="2548"/>
      <c r="I29" s="2548"/>
      <c r="J29" s="2571">
        <f>IF(C29="",0,HLOOKUP(C29,'Part V-Utility Allowances'!$I$11:$M$22,12))</f>
        <v>0</v>
      </c>
      <c r="K29" s="2550"/>
      <c r="L29" s="567">
        <f t="shared" si="0"/>
        <v>0</v>
      </c>
      <c r="M29" s="567">
        <f t="shared" si="1"/>
        <v>0</v>
      </c>
      <c r="N29" s="2551"/>
      <c r="O29" s="2551"/>
      <c r="P29" s="2551"/>
      <c r="Q29" s="2552"/>
      <c r="R29" s="2553"/>
      <c r="S29" s="2554"/>
      <c r="T29" s="3325"/>
      <c r="U29" s="3326"/>
      <c r="V29" s="3326"/>
      <c r="W29" s="332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2572"/>
      <c r="C30" s="2546"/>
      <c r="D30" s="2547"/>
      <c r="E30" s="2548"/>
      <c r="F30" s="2548"/>
      <c r="G30" s="2548"/>
      <c r="H30" s="2548"/>
      <c r="I30" s="2548"/>
      <c r="J30" s="2571">
        <f>IF(C30="",0,HLOOKUP(C30,'Part V-Utility Allowances'!$I$11:$M$22,12))</f>
        <v>0</v>
      </c>
      <c r="K30" s="2550"/>
      <c r="L30" s="567">
        <f t="shared" si="0"/>
        <v>0</v>
      </c>
      <c r="M30" s="567">
        <f t="shared" si="1"/>
        <v>0</v>
      </c>
      <c r="N30" s="2551"/>
      <c r="O30" s="2551"/>
      <c r="P30" s="2551"/>
      <c r="Q30" s="2552"/>
      <c r="R30" s="2553"/>
      <c r="S30" s="2554"/>
      <c r="T30" s="3325"/>
      <c r="U30" s="3326"/>
      <c r="V30" s="3326"/>
      <c r="W30" s="332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2572"/>
      <c r="C31" s="2546"/>
      <c r="D31" s="2547"/>
      <c r="E31" s="2548"/>
      <c r="F31" s="2548"/>
      <c r="G31" s="2548"/>
      <c r="H31" s="2548"/>
      <c r="I31" s="2548"/>
      <c r="J31" s="2571">
        <f>IF(C31="",0,HLOOKUP(C31,'Part V-Utility Allowances'!$I$11:$M$22,12))</f>
        <v>0</v>
      </c>
      <c r="K31" s="2550"/>
      <c r="L31" s="567">
        <f t="shared" si="0"/>
        <v>0</v>
      </c>
      <c r="M31" s="567">
        <f t="shared" si="1"/>
        <v>0</v>
      </c>
      <c r="N31" s="2551"/>
      <c r="O31" s="2551"/>
      <c r="P31" s="2551"/>
      <c r="Q31" s="2552"/>
      <c r="R31" s="2553"/>
      <c r="S31" s="2554"/>
      <c r="T31" s="3325"/>
      <c r="U31" s="3326"/>
      <c r="V31" s="3326"/>
      <c r="W31" s="332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2572"/>
      <c r="C32" s="2546"/>
      <c r="D32" s="2547"/>
      <c r="E32" s="2548"/>
      <c r="F32" s="2548"/>
      <c r="G32" s="2548"/>
      <c r="H32" s="2548"/>
      <c r="I32" s="2548"/>
      <c r="J32" s="2571">
        <f>IF(C32="",0,HLOOKUP(C32,'Part V-Utility Allowances'!$I$11:$M$22,12))</f>
        <v>0</v>
      </c>
      <c r="K32" s="2550"/>
      <c r="L32" s="567">
        <f t="shared" si="0"/>
        <v>0</v>
      </c>
      <c r="M32" s="567">
        <f t="shared" si="1"/>
        <v>0</v>
      </c>
      <c r="N32" s="2551"/>
      <c r="O32" s="2551"/>
      <c r="P32" s="2551"/>
      <c r="Q32" s="2552"/>
      <c r="R32" s="2553"/>
      <c r="S32" s="2554"/>
      <c r="T32" s="3325"/>
      <c r="U32" s="3326"/>
      <c r="V32" s="3326"/>
      <c r="W32" s="332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2572"/>
      <c r="C33" s="2546"/>
      <c r="D33" s="2547"/>
      <c r="E33" s="2548"/>
      <c r="F33" s="2548"/>
      <c r="G33" s="2548"/>
      <c r="H33" s="2548"/>
      <c r="I33" s="2548"/>
      <c r="J33" s="2571">
        <f>IF(C33="",0,HLOOKUP(C33,'Part V-Utility Allowances'!$I$11:$M$22,12))</f>
        <v>0</v>
      </c>
      <c r="K33" s="2550"/>
      <c r="L33" s="567">
        <f t="shared" si="0"/>
        <v>0</v>
      </c>
      <c r="M33" s="567">
        <f t="shared" si="1"/>
        <v>0</v>
      </c>
      <c r="N33" s="2551"/>
      <c r="O33" s="2551"/>
      <c r="P33" s="2551"/>
      <c r="Q33" s="2552"/>
      <c r="R33" s="2553"/>
      <c r="S33" s="2554"/>
      <c r="T33" s="3325"/>
      <c r="U33" s="3326"/>
      <c r="V33" s="3326"/>
      <c r="W33" s="332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2572"/>
      <c r="C34" s="2546"/>
      <c r="D34" s="2547"/>
      <c r="E34" s="2548"/>
      <c r="F34" s="2548"/>
      <c r="G34" s="2548"/>
      <c r="H34" s="2548"/>
      <c r="I34" s="2548"/>
      <c r="J34" s="2571">
        <f>IF(C34="",0,HLOOKUP(C34,'Part V-Utility Allowances'!$I$11:$M$22,12))</f>
        <v>0</v>
      </c>
      <c r="K34" s="2550"/>
      <c r="L34" s="567">
        <f t="shared" si="0"/>
        <v>0</v>
      </c>
      <c r="M34" s="567">
        <f t="shared" si="1"/>
        <v>0</v>
      </c>
      <c r="N34" s="2551"/>
      <c r="O34" s="2551"/>
      <c r="P34" s="2551"/>
      <c r="Q34" s="2552"/>
      <c r="R34" s="2553"/>
      <c r="S34" s="2554"/>
      <c r="T34" s="3325"/>
      <c r="U34" s="3326"/>
      <c r="V34" s="3326"/>
      <c r="W34" s="332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2572"/>
      <c r="C35" s="2546"/>
      <c r="D35" s="2547"/>
      <c r="E35" s="2548"/>
      <c r="F35" s="2548"/>
      <c r="G35" s="2548"/>
      <c r="H35" s="2548"/>
      <c r="I35" s="2548"/>
      <c r="J35" s="2571">
        <f>IF(C35="",0,HLOOKUP(C35,'Part V-Utility Allowances'!$I$11:$M$22,12))</f>
        <v>0</v>
      </c>
      <c r="K35" s="2550"/>
      <c r="L35" s="567">
        <f t="shared" si="0"/>
        <v>0</v>
      </c>
      <c r="M35" s="567">
        <f t="shared" si="1"/>
        <v>0</v>
      </c>
      <c r="N35" s="2551"/>
      <c r="O35" s="2551"/>
      <c r="P35" s="2551"/>
      <c r="Q35" s="2552"/>
      <c r="R35" s="2553"/>
      <c r="S35" s="2554"/>
      <c r="T35" s="3325"/>
      <c r="U35" s="3326"/>
      <c r="V35" s="3326"/>
      <c r="W35" s="332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2572"/>
      <c r="C36" s="2546"/>
      <c r="D36" s="2547"/>
      <c r="E36" s="2548"/>
      <c r="F36" s="2548"/>
      <c r="G36" s="2548"/>
      <c r="H36" s="2548"/>
      <c r="I36" s="2548"/>
      <c r="J36" s="2571">
        <f>IF(C36="",0,HLOOKUP(C36,'Part V-Utility Allowances'!$I$11:$M$22,12))</f>
        <v>0</v>
      </c>
      <c r="K36" s="2550"/>
      <c r="L36" s="567">
        <f t="shared" si="0"/>
        <v>0</v>
      </c>
      <c r="M36" s="567">
        <f t="shared" si="1"/>
        <v>0</v>
      </c>
      <c r="N36" s="2551"/>
      <c r="O36" s="2551"/>
      <c r="P36" s="2551"/>
      <c r="Q36" s="2552"/>
      <c r="R36" s="2553"/>
      <c r="S36" s="2554"/>
      <c r="T36" s="3325"/>
      <c r="U36" s="3326"/>
      <c r="V36" s="3326"/>
      <c r="W36" s="332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2572"/>
      <c r="C37" s="2546"/>
      <c r="D37" s="2547"/>
      <c r="E37" s="2548"/>
      <c r="F37" s="2548"/>
      <c r="G37" s="2548"/>
      <c r="H37" s="2548"/>
      <c r="I37" s="2548"/>
      <c r="J37" s="2571">
        <f>IF(C37="",0,HLOOKUP(C37,'Part V-Utility Allowances'!$I$11:$M$22,12))</f>
        <v>0</v>
      </c>
      <c r="K37" s="2550"/>
      <c r="L37" s="567">
        <f t="shared" si="0"/>
        <v>0</v>
      </c>
      <c r="M37" s="567">
        <f t="shared" si="1"/>
        <v>0</v>
      </c>
      <c r="N37" s="2551"/>
      <c r="O37" s="2551"/>
      <c r="P37" s="2551"/>
      <c r="Q37" s="2552"/>
      <c r="R37" s="2553"/>
      <c r="S37" s="2554"/>
      <c r="T37" s="3325"/>
      <c r="U37" s="3326"/>
      <c r="V37" s="3326"/>
      <c r="W37" s="332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2572"/>
      <c r="C38" s="2546"/>
      <c r="D38" s="2547"/>
      <c r="E38" s="2548"/>
      <c r="F38" s="2548"/>
      <c r="G38" s="2548"/>
      <c r="H38" s="2548"/>
      <c r="I38" s="2548"/>
      <c r="J38" s="2571">
        <f>IF(C38="",0,HLOOKUP(C38,'Part V-Utility Allowances'!$I$11:$M$22,12))</f>
        <v>0</v>
      </c>
      <c r="K38" s="2550"/>
      <c r="L38" s="567">
        <f t="shared" si="0"/>
        <v>0</v>
      </c>
      <c r="M38" s="567">
        <f t="shared" si="1"/>
        <v>0</v>
      </c>
      <c r="N38" s="2551"/>
      <c r="O38" s="2551"/>
      <c r="P38" s="2551"/>
      <c r="Q38" s="2552"/>
      <c r="R38" s="2553"/>
      <c r="S38" s="2554"/>
      <c r="T38" s="3325"/>
      <c r="U38" s="3326"/>
      <c r="V38" s="3326"/>
      <c r="W38" s="332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2572"/>
      <c r="C39" s="2546"/>
      <c r="D39" s="2547"/>
      <c r="E39" s="2548"/>
      <c r="F39" s="2548"/>
      <c r="G39" s="2548"/>
      <c r="H39" s="2548"/>
      <c r="I39" s="2548"/>
      <c r="J39" s="2571">
        <f>IF(C39="",0,HLOOKUP(C39,'Part V-Utility Allowances'!$I$11:$M$22,12))</f>
        <v>0</v>
      </c>
      <c r="K39" s="2550"/>
      <c r="L39" s="567">
        <f t="shared" si="0"/>
        <v>0</v>
      </c>
      <c r="M39" s="567">
        <f t="shared" si="1"/>
        <v>0</v>
      </c>
      <c r="N39" s="2551"/>
      <c r="O39" s="2551"/>
      <c r="P39" s="2551"/>
      <c r="Q39" s="2552"/>
      <c r="R39" s="2553"/>
      <c r="S39" s="2554"/>
      <c r="T39" s="3325"/>
      <c r="U39" s="3326"/>
      <c r="V39" s="3326"/>
      <c r="W39" s="332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2572"/>
      <c r="C40" s="2546"/>
      <c r="D40" s="2547"/>
      <c r="E40" s="2548"/>
      <c r="F40" s="2548"/>
      <c r="G40" s="2548"/>
      <c r="H40" s="2548"/>
      <c r="I40" s="2548"/>
      <c r="J40" s="2571">
        <f>IF(C40="",0,HLOOKUP(C40,'Part V-Utility Allowances'!$I$11:$M$22,12))</f>
        <v>0</v>
      </c>
      <c r="K40" s="2550"/>
      <c r="L40" s="567">
        <f t="shared" si="0"/>
        <v>0</v>
      </c>
      <c r="M40" s="567">
        <f t="shared" si="1"/>
        <v>0</v>
      </c>
      <c r="N40" s="2551"/>
      <c r="O40" s="2551"/>
      <c r="P40" s="2551"/>
      <c r="Q40" s="2552"/>
      <c r="R40" s="2553"/>
      <c r="S40" s="2554"/>
      <c r="T40" s="3325"/>
      <c r="U40" s="3326"/>
      <c r="V40" s="3326"/>
      <c r="W40" s="332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2572"/>
      <c r="C41" s="2546"/>
      <c r="D41" s="2547"/>
      <c r="E41" s="2548"/>
      <c r="F41" s="2548"/>
      <c r="G41" s="2548"/>
      <c r="H41" s="2548"/>
      <c r="I41" s="2548"/>
      <c r="J41" s="2571">
        <f>IF(C41="",0,HLOOKUP(C41,'Part V-Utility Allowances'!$I$11:$M$22,12))</f>
        <v>0</v>
      </c>
      <c r="K41" s="2550"/>
      <c r="L41" s="567">
        <f t="shared" si="0"/>
        <v>0</v>
      </c>
      <c r="M41" s="567">
        <f t="shared" si="1"/>
        <v>0</v>
      </c>
      <c r="N41" s="2551"/>
      <c r="O41" s="2551"/>
      <c r="P41" s="2551"/>
      <c r="Q41" s="2552"/>
      <c r="R41" s="2553"/>
      <c r="S41" s="2554"/>
      <c r="T41" s="3325"/>
      <c r="U41" s="3326"/>
      <c r="V41" s="3326"/>
      <c r="W41" s="332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2572"/>
      <c r="C42" s="2546"/>
      <c r="D42" s="2547"/>
      <c r="E42" s="2548"/>
      <c r="F42" s="2548"/>
      <c r="G42" s="2548"/>
      <c r="H42" s="2548"/>
      <c r="I42" s="2548"/>
      <c r="J42" s="2571">
        <f>IF(C42="",0,HLOOKUP(C42,'Part V-Utility Allowances'!$I$11:$M$22,12))</f>
        <v>0</v>
      </c>
      <c r="K42" s="2550"/>
      <c r="L42" s="567">
        <f t="shared" si="0"/>
        <v>0</v>
      </c>
      <c r="M42" s="567">
        <f t="shared" si="1"/>
        <v>0</v>
      </c>
      <c r="N42" s="2551"/>
      <c r="O42" s="2551"/>
      <c r="P42" s="2551"/>
      <c r="Q42" s="2552"/>
      <c r="R42" s="2553"/>
      <c r="S42" s="2554"/>
      <c r="T42" s="3325"/>
      <c r="U42" s="3326"/>
      <c r="V42" s="3326"/>
      <c r="W42" s="332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2572"/>
      <c r="C43" s="2546"/>
      <c r="D43" s="2547"/>
      <c r="E43" s="2548"/>
      <c r="F43" s="2548"/>
      <c r="G43" s="2548"/>
      <c r="H43" s="2548"/>
      <c r="I43" s="2548"/>
      <c r="J43" s="2571">
        <f>IF(C43="",0,HLOOKUP(C43,'Part V-Utility Allowances'!$I$11:$M$22,12))</f>
        <v>0</v>
      </c>
      <c r="K43" s="2550"/>
      <c r="L43" s="567">
        <f t="shared" si="0"/>
        <v>0</v>
      </c>
      <c r="M43" s="567">
        <f t="shared" si="1"/>
        <v>0</v>
      </c>
      <c r="N43" s="2551"/>
      <c r="O43" s="2551"/>
      <c r="P43" s="2551"/>
      <c r="Q43" s="2552"/>
      <c r="R43" s="2553"/>
      <c r="S43" s="2554"/>
      <c r="T43" s="3325"/>
      <c r="U43" s="3326"/>
      <c r="V43" s="3326"/>
      <c r="W43" s="332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2572"/>
      <c r="C44" s="2546"/>
      <c r="D44" s="2547"/>
      <c r="E44" s="2548"/>
      <c r="F44" s="2548"/>
      <c r="G44" s="2548"/>
      <c r="H44" s="2548"/>
      <c r="I44" s="2548"/>
      <c r="J44" s="2571">
        <f>IF(C44="",0,HLOOKUP(C44,'Part V-Utility Allowances'!$I$11:$M$22,12))</f>
        <v>0</v>
      </c>
      <c r="K44" s="2550"/>
      <c r="L44" s="567">
        <f t="shared" si="0"/>
        <v>0</v>
      </c>
      <c r="M44" s="567">
        <f t="shared" si="1"/>
        <v>0</v>
      </c>
      <c r="N44" s="2551"/>
      <c r="O44" s="2551"/>
      <c r="P44" s="2551"/>
      <c r="Q44" s="2552"/>
      <c r="R44" s="2553"/>
      <c r="S44" s="2554"/>
      <c r="T44" s="3325"/>
      <c r="U44" s="3326"/>
      <c r="V44" s="3326"/>
      <c r="W44" s="332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2572"/>
      <c r="C45" s="2546"/>
      <c r="D45" s="2547"/>
      <c r="E45" s="2548"/>
      <c r="F45" s="2548"/>
      <c r="G45" s="2548"/>
      <c r="H45" s="2548"/>
      <c r="I45" s="2548"/>
      <c r="J45" s="2571">
        <f>IF(C45="",0,HLOOKUP(C45,'Part V-Utility Allowances'!$I$11:$M$22,12))</f>
        <v>0</v>
      </c>
      <c r="K45" s="2550"/>
      <c r="L45" s="567">
        <f t="shared" si="0"/>
        <v>0</v>
      </c>
      <c r="M45" s="567">
        <f t="shared" si="1"/>
        <v>0</v>
      </c>
      <c r="N45" s="2551"/>
      <c r="O45" s="2551"/>
      <c r="P45" s="2551"/>
      <c r="Q45" s="2552"/>
      <c r="R45" s="2553"/>
      <c r="S45" s="2554"/>
      <c r="T45" s="3325"/>
      <c r="U45" s="3326"/>
      <c r="V45" s="3326"/>
      <c r="W45" s="332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2572"/>
      <c r="C46" s="2546"/>
      <c r="D46" s="2547"/>
      <c r="E46" s="2548"/>
      <c r="F46" s="2548"/>
      <c r="G46" s="2548"/>
      <c r="H46" s="2548"/>
      <c r="I46" s="2548"/>
      <c r="J46" s="2571">
        <f>IF(C46="",0,HLOOKUP(C46,'Part V-Utility Allowances'!$I$11:$M$22,12))</f>
        <v>0</v>
      </c>
      <c r="K46" s="2550"/>
      <c r="L46" s="567">
        <f t="shared" si="0"/>
        <v>0</v>
      </c>
      <c r="M46" s="567">
        <f t="shared" si="1"/>
        <v>0</v>
      </c>
      <c r="N46" s="2551"/>
      <c r="O46" s="2551"/>
      <c r="P46" s="2551"/>
      <c r="Q46" s="2552"/>
      <c r="R46" s="2553"/>
      <c r="S46" s="2554"/>
      <c r="T46" s="3325"/>
      <c r="U46" s="3326"/>
      <c r="V46" s="3326"/>
      <c r="W46" s="332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2573"/>
      <c r="C47" s="2574"/>
      <c r="D47" s="2575"/>
      <c r="E47" s="2576"/>
      <c r="F47" s="2576"/>
      <c r="G47" s="2576"/>
      <c r="H47" s="2576"/>
      <c r="I47" s="2576"/>
      <c r="J47" s="2577">
        <f>IF(C47="",0,HLOOKUP(C47,'Part V-Utility Allowances'!$I$11:$M$22,12))</f>
        <v>0</v>
      </c>
      <c r="K47" s="2578"/>
      <c r="L47" s="568">
        <f t="shared" si="0"/>
        <v>0</v>
      </c>
      <c r="M47" s="568">
        <f t="shared" si="1"/>
        <v>0</v>
      </c>
      <c r="N47" s="2579"/>
      <c r="O47" s="2579"/>
      <c r="P47" s="2579"/>
      <c r="Q47" s="2580"/>
      <c r="R47" s="2581"/>
      <c r="S47" s="2582"/>
      <c r="T47" s="3337"/>
      <c r="U47" s="3338"/>
      <c r="V47" s="3338"/>
      <c r="W47" s="333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6</v>
      </c>
      <c r="B48" s="3331" t="s">
        <v>4213</v>
      </c>
      <c r="C48" s="3332"/>
      <c r="D48" s="138" t="s">
        <v>996</v>
      </c>
      <c r="E48" s="1343">
        <f>SUM(E10:E47)</f>
        <v>60</v>
      </c>
      <c r="F48" s="1341">
        <f>(E10*F10+E11*F11+E12*F12+E13*F13+E14*F14+E15*F15+E16*F16+E17*F17+E18*F18+E19*F19+E20*F20+E21*F21+E22*F22+E23*F23+E24*F24+E25*F25+E26*F26+E27*F27+E28*F28+E29*F29+E30*F30+E31*F31+E32*F32+E33*F33+E34*F34+E35*F35+E36*F36+E37*F37+E38*F38+E39*F39+E40*F40+E41*F41+E42*F42+E43*F43+E44*F44+E45*F45+E46*F46+E47*F47)</f>
        <v>65436</v>
      </c>
      <c r="H48" s="3335" t="s">
        <v>4210</v>
      </c>
      <c r="I48" s="2583" t="s">
        <v>4211</v>
      </c>
      <c r="J48" s="1344" t="str">
        <f>IF(P67=0,"",IF(SUM(P58:P62)/P67&gt;=0.4,"Pass","Fail"))</f>
        <v>Pass</v>
      </c>
      <c r="K48" s="547"/>
      <c r="L48" s="872" t="s">
        <v>1276</v>
      </c>
      <c r="M48" s="123">
        <f>SUM(M10:M47)</f>
        <v>30216</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6</v>
      </c>
      <c r="AJ48" s="2247">
        <f t="shared" si="349"/>
        <v>30</v>
      </c>
      <c r="AK48" s="2247">
        <f t="shared" si="349"/>
        <v>12</v>
      </c>
      <c r="AL48" s="2247">
        <f t="shared" si="349"/>
        <v>0</v>
      </c>
      <c r="AM48" s="2247">
        <f>SUM(AM10:AM47)</f>
        <v>0</v>
      </c>
      <c r="AN48" s="2247">
        <f>SUM(AN10:AN47)</f>
        <v>2</v>
      </c>
      <c r="AO48" s="2247">
        <f>SUM(AO10:AO47)</f>
        <v>6</v>
      </c>
      <c r="AP48" s="2247">
        <f>SUM(AP10:AP47)</f>
        <v>4</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4980</v>
      </c>
      <c r="EU48" s="2247">
        <f t="shared" si="352"/>
        <v>31650</v>
      </c>
      <c r="EV48" s="2247">
        <f t="shared" si="352"/>
        <v>15612</v>
      </c>
      <c r="EW48" s="2247">
        <f t="shared" si="352"/>
        <v>0</v>
      </c>
      <c r="EX48" s="2247">
        <f t="shared" si="348"/>
        <v>0</v>
      </c>
      <c r="EY48" s="2247">
        <f t="shared" si="348"/>
        <v>1660</v>
      </c>
      <c r="EZ48" s="2247">
        <f t="shared" si="348"/>
        <v>6330</v>
      </c>
      <c r="FA48" s="2247">
        <f t="shared" si="348"/>
        <v>5204</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8</v>
      </c>
      <c r="GI48" s="2247">
        <f t="shared" si="353"/>
        <v>36</v>
      </c>
      <c r="GJ48" s="2247">
        <f t="shared" si="353"/>
        <v>16</v>
      </c>
      <c r="GK48" s="2247">
        <f t="shared" si="353"/>
        <v>0</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8</v>
      </c>
      <c r="IB48" s="2247">
        <f t="shared" si="354"/>
        <v>36</v>
      </c>
      <c r="IC48" s="2247">
        <f t="shared" si="354"/>
        <v>16</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8</v>
      </c>
      <c r="KO48" s="2247">
        <f t="shared" si="355"/>
        <v>36</v>
      </c>
      <c r="KP48" s="2247">
        <f t="shared" si="355"/>
        <v>16</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8</v>
      </c>
      <c r="MW48" s="2247">
        <f t="shared" si="355"/>
        <v>36</v>
      </c>
      <c r="MX48" s="2247">
        <f t="shared" si="355"/>
        <v>16</v>
      </c>
      <c r="MY48" s="2247">
        <f t="shared" si="355"/>
        <v>0</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3333">
        <f>IF(SUM(E17:E47)=0,"",(B17*E17+B18*E18+B19*E19+B20*E20+B21*E21+B22*E22+B23*E23+B24*E24+B25*E25+B26*E26+B27*E27+B28*E28+B29*E29+B30*E30+B31*E31+B32*E32+B33*E33+B34*E34+B35*E35+B36*E36+B37*E37+B38*E38+B39*E39+B40*E40+B41*E41+B42*E42+B43*E43+B44*E44+B45*E45+B46*E46+B47*E47)/SUM(E17:E47))</f>
        <v>58</v>
      </c>
      <c r="C49" s="3334"/>
      <c r="D49" s="2374" t="s">
        <v>4120</v>
      </c>
      <c r="E49" s="1340">
        <f>SUM(E17:E47)</f>
        <v>60</v>
      </c>
      <c r="F49" s="1342">
        <f>(E17*F17+E18*F18+E19*F19+E20*F20+E21*F21+E22*F22+E23*F23+E24*F24+E25*F25+E26*F26+E27*F27+E28*F28+E29*F29+E30*F30+E31*F31+E32*F32+E33*F33+E34*F34+E35*F35+E36*F36+E37*F37+E38*F38+E39*F39+E40*F40+E41*F41+E42*F42+E43*F43+E44*F44+E45*F45+E46*F46+E47*F47)</f>
        <v>65436</v>
      </c>
      <c r="H49" s="3336"/>
      <c r="I49" s="2584" t="s">
        <v>4212</v>
      </c>
      <c r="J49" s="1345" t="str">
        <f>IF(P67=0,"",IF(SUM(P59:P62)/P67&gt;=0.2,"Pass","Fail"))</f>
        <v>Pass</v>
      </c>
      <c r="K49" s="547"/>
      <c r="L49" s="138" t="s">
        <v>794</v>
      </c>
      <c r="M49" s="123">
        <f>M48*12</f>
        <v>362592</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3329" t="s">
        <v>2553</v>
      </c>
      <c r="B51" s="3330"/>
      <c r="C51" s="3330"/>
      <c r="D51" s="3330"/>
      <c r="E51" s="3330"/>
      <c r="F51" s="3330"/>
      <c r="G51" s="3330"/>
      <c r="H51" s="3330"/>
      <c r="I51" s="3330"/>
      <c r="J51" s="3330"/>
      <c r="K51" s="3330"/>
      <c r="L51" s="3330"/>
      <c r="M51" s="3330"/>
      <c r="N51" s="3330"/>
      <c r="O51" s="3330"/>
      <c r="P51" s="3330"/>
      <c r="Q51" s="3330"/>
      <c r="R51" s="2585"/>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3330"/>
      <c r="B52" s="3330"/>
      <c r="C52" s="3330"/>
      <c r="D52" s="3330"/>
      <c r="E52" s="3330"/>
      <c r="F52" s="3330"/>
      <c r="G52" s="3330"/>
      <c r="H52" s="3330"/>
      <c r="I52" s="3330"/>
      <c r="J52" s="3330"/>
      <c r="K52" s="3330"/>
      <c r="L52" s="3330"/>
      <c r="M52" s="3330"/>
      <c r="N52" s="3330"/>
      <c r="O52" s="3330"/>
      <c r="P52" s="3330"/>
      <c r="Q52" s="3330"/>
      <c r="R52" s="2585"/>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3320" t="str">
        <f>'Part I-Project Information'!$K$94</f>
        <v>Income Averaging</v>
      </c>
      <c r="M53" s="3321"/>
      <c r="N53" s="3321"/>
      <c r="O53" s="3322"/>
      <c r="P53" s="82"/>
      <c r="S53" s="3348" t="str">
        <f>B53</f>
        <v>UNIT SUMMARY</v>
      </c>
      <c r="T53" s="3348"/>
      <c r="U53" s="3348"/>
      <c r="V53" s="3348"/>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3311" t="s">
        <v>4806</v>
      </c>
      <c r="B56" s="3311"/>
      <c r="C56" s="94" t="s">
        <v>1115</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3323" t="s">
        <v>3495</v>
      </c>
      <c r="R56" s="2394"/>
      <c r="S56" s="3344"/>
      <c r="T56" s="3345"/>
      <c r="U56" s="3345"/>
      <c r="V56" s="3345"/>
      <c r="W56" s="334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11"/>
      <c r="B57" s="3311"/>
      <c r="C57" s="94"/>
      <c r="D57" s="1"/>
      <c r="E57" s="1"/>
      <c r="F57" s="1"/>
      <c r="G57" s="82"/>
      <c r="H57" s="110" t="s">
        <v>4122</v>
      </c>
      <c r="I57" s="36"/>
      <c r="J57" s="82"/>
      <c r="K57" s="1356">
        <f>AC48</f>
        <v>0</v>
      </c>
      <c r="L57" s="1357">
        <f>AD48</f>
        <v>0</v>
      </c>
      <c r="M57" s="1357">
        <f>AE48</f>
        <v>0</v>
      </c>
      <c r="N57" s="1357">
        <f>AF48</f>
        <v>0</v>
      </c>
      <c r="O57" s="1358">
        <f>AG48</f>
        <v>0</v>
      </c>
      <c r="P57" s="914">
        <f t="shared" si="357"/>
        <v>0</v>
      </c>
      <c r="Q57" s="3323"/>
      <c r="R57" s="2394"/>
      <c r="S57" s="3325"/>
      <c r="T57" s="3326"/>
      <c r="U57" s="3326"/>
      <c r="V57" s="3326"/>
      <c r="W57" s="3327"/>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11"/>
      <c r="B58" s="3311"/>
      <c r="C58" s="94"/>
      <c r="D58" s="1"/>
      <c r="E58" s="1"/>
      <c r="F58" s="1"/>
      <c r="G58" s="82"/>
      <c r="H58" s="110" t="s">
        <v>1127</v>
      </c>
      <c r="I58" s="36"/>
      <c r="J58" s="82"/>
      <c r="K58" s="1356">
        <f>AH48</f>
        <v>0</v>
      </c>
      <c r="L58" s="1357">
        <f>AI48</f>
        <v>6</v>
      </c>
      <c r="M58" s="1357">
        <f>AJ48</f>
        <v>30</v>
      </c>
      <c r="N58" s="1357">
        <f>AK48</f>
        <v>12</v>
      </c>
      <c r="O58" s="1358">
        <f>AL48</f>
        <v>0</v>
      </c>
      <c r="P58" s="914">
        <f t="shared" si="357"/>
        <v>48</v>
      </c>
      <c r="Q58" s="3323"/>
      <c r="R58" s="2394"/>
      <c r="S58" s="3325"/>
      <c r="T58" s="3326"/>
      <c r="U58" s="3326"/>
      <c r="V58" s="3326"/>
      <c r="W58" s="3327"/>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11"/>
      <c r="B59" s="3311"/>
      <c r="C59" s="94"/>
      <c r="D59" s="1"/>
      <c r="E59" s="1"/>
      <c r="F59" s="1"/>
      <c r="G59" s="82"/>
      <c r="H59" s="103" t="s">
        <v>115</v>
      </c>
      <c r="I59" s="52"/>
      <c r="J59" s="1094"/>
      <c r="K59" s="1377">
        <f>AM48</f>
        <v>0</v>
      </c>
      <c r="L59" s="1378">
        <f>AN48</f>
        <v>2</v>
      </c>
      <c r="M59" s="1378">
        <f>AO48</f>
        <v>6</v>
      </c>
      <c r="N59" s="1378">
        <f>AP48</f>
        <v>4</v>
      </c>
      <c r="O59" s="1379">
        <f>AQ48</f>
        <v>0</v>
      </c>
      <c r="P59" s="572">
        <f t="shared" si="357"/>
        <v>12</v>
      </c>
      <c r="Q59" s="3323"/>
      <c r="R59" s="2394"/>
      <c r="S59" s="3325"/>
      <c r="T59" s="3326"/>
      <c r="U59" s="3326"/>
      <c r="V59" s="3326"/>
      <c r="W59" s="3327"/>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11"/>
      <c r="B60" s="3311"/>
      <c r="C60" s="94"/>
      <c r="D60" s="1"/>
      <c r="E60" s="1"/>
      <c r="F60" s="1"/>
      <c r="G60" s="82"/>
      <c r="H60" s="103" t="s">
        <v>4123</v>
      </c>
      <c r="I60" s="52"/>
      <c r="J60" s="1094"/>
      <c r="K60" s="1356">
        <f>AR48</f>
        <v>0</v>
      </c>
      <c r="L60" s="1357">
        <f>AS48</f>
        <v>0</v>
      </c>
      <c r="M60" s="1357">
        <f>AT48</f>
        <v>0</v>
      </c>
      <c r="N60" s="1357">
        <f>AU48</f>
        <v>0</v>
      </c>
      <c r="O60" s="1358">
        <f>AV48</f>
        <v>0</v>
      </c>
      <c r="P60" s="914">
        <f t="shared" si="357"/>
        <v>0</v>
      </c>
      <c r="Q60" s="3323"/>
      <c r="R60" s="2394"/>
      <c r="S60" s="3325"/>
      <c r="T60" s="3326"/>
      <c r="U60" s="3326"/>
      <c r="V60" s="3326"/>
      <c r="W60" s="3327"/>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11"/>
      <c r="B61" s="3311"/>
      <c r="C61" s="94"/>
      <c r="D61" s="1"/>
      <c r="E61" s="1"/>
      <c r="F61" s="1"/>
      <c r="G61" s="82"/>
      <c r="H61" s="110" t="s">
        <v>4124</v>
      </c>
      <c r="I61" s="36"/>
      <c r="J61" s="82"/>
      <c r="K61" s="1356">
        <f>AW48</f>
        <v>0</v>
      </c>
      <c r="L61" s="1357">
        <f>AX48</f>
        <v>0</v>
      </c>
      <c r="M61" s="1357">
        <f>AY48</f>
        <v>0</v>
      </c>
      <c r="N61" s="1357">
        <f>AZ48</f>
        <v>0</v>
      </c>
      <c r="O61" s="1358">
        <f>BA48</f>
        <v>0</v>
      </c>
      <c r="P61" s="914">
        <f t="shared" si="357"/>
        <v>0</v>
      </c>
      <c r="Q61" s="3323"/>
      <c r="R61" s="2394"/>
      <c r="S61" s="3325"/>
      <c r="T61" s="3326"/>
      <c r="U61" s="3326"/>
      <c r="V61" s="3326"/>
      <c r="W61" s="3327"/>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11"/>
      <c r="B62" s="3311"/>
      <c r="C62" s="4"/>
      <c r="D62" s="1"/>
      <c r="E62" s="1"/>
      <c r="F62" s="1"/>
      <c r="G62" s="82"/>
      <c r="H62" s="110" t="s">
        <v>4125</v>
      </c>
      <c r="I62" s="36"/>
      <c r="J62" s="82"/>
      <c r="K62" s="1359">
        <f>BB48</f>
        <v>0</v>
      </c>
      <c r="L62" s="1360">
        <f>BC48</f>
        <v>0</v>
      </c>
      <c r="M62" s="1360">
        <f>BD48</f>
        <v>0</v>
      </c>
      <c r="N62" s="1360">
        <f>BE48</f>
        <v>0</v>
      </c>
      <c r="O62" s="1361">
        <f>BF48</f>
        <v>0</v>
      </c>
      <c r="P62" s="572">
        <f t="shared" si="357"/>
        <v>0</v>
      </c>
      <c r="Q62" s="3323"/>
      <c r="R62" s="2394"/>
      <c r="S62" s="3325"/>
      <c r="T62" s="3326"/>
      <c r="U62" s="3326"/>
      <c r="V62" s="3326"/>
      <c r="W62" s="3327"/>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3311"/>
      <c r="B63" s="3311"/>
      <c r="C63" s="110" t="s">
        <v>4207</v>
      </c>
      <c r="D63" s="1"/>
      <c r="E63" s="1"/>
      <c r="F63" s="1"/>
      <c r="G63" s="82"/>
      <c r="H63" s="89"/>
      <c r="I63" s="55"/>
      <c r="J63" s="82"/>
      <c r="K63" s="1327">
        <f>SUM(K56:K62)</f>
        <v>0</v>
      </c>
      <c r="L63" s="1327">
        <f>SUM(L56:L62)</f>
        <v>8</v>
      </c>
      <c r="M63" s="1327">
        <f>SUM(M56:M62)</f>
        <v>36</v>
      </c>
      <c r="N63" s="1327">
        <f>SUM(N56:N62)</f>
        <v>16</v>
      </c>
      <c r="O63" s="1327">
        <f>SUM(O56:O62)</f>
        <v>0</v>
      </c>
      <c r="P63" s="1327">
        <f t="shared" si="357"/>
        <v>60</v>
      </c>
      <c r="Q63" s="3324"/>
      <c r="S63" s="3325"/>
      <c r="T63" s="3326"/>
      <c r="U63" s="3326"/>
      <c r="V63" s="3326"/>
      <c r="W63" s="3327"/>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3311"/>
      <c r="B64" s="3311"/>
      <c r="D64" s="1"/>
      <c r="E64" s="1"/>
      <c r="F64" s="1"/>
      <c r="G64" s="82"/>
      <c r="H64" s="110" t="s">
        <v>298</v>
      </c>
      <c r="I64" s="36"/>
      <c r="J64" s="82"/>
      <c r="K64" s="915">
        <f>BG48</f>
        <v>0</v>
      </c>
      <c r="L64" s="915">
        <f>BH48</f>
        <v>0</v>
      </c>
      <c r="M64" s="915">
        <f>BI48</f>
        <v>0</v>
      </c>
      <c r="N64" s="915">
        <f>BJ48</f>
        <v>0</v>
      </c>
      <c r="O64" s="915">
        <f>BK48</f>
        <v>0</v>
      </c>
      <c r="P64" s="915">
        <f t="shared" si="357"/>
        <v>0</v>
      </c>
      <c r="S64" s="3325"/>
      <c r="T64" s="3326"/>
      <c r="U64" s="3326"/>
      <c r="V64" s="3326"/>
      <c r="W64" s="3327"/>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11"/>
      <c r="B65" s="3311"/>
      <c r="C65" s="1334" t="s">
        <v>1116</v>
      </c>
      <c r="D65" s="1334"/>
      <c r="E65" s="1334"/>
      <c r="F65" s="1334"/>
      <c r="G65" s="1335"/>
      <c r="H65" s="1753"/>
      <c r="I65" s="49"/>
      <c r="J65" s="1335"/>
      <c r="K65" s="1336">
        <f>SUM(K63:K64)</f>
        <v>0</v>
      </c>
      <c r="L65" s="1336">
        <f>SUM(L63:L64)</f>
        <v>8</v>
      </c>
      <c r="M65" s="1336">
        <f>SUM(M63:M64)</f>
        <v>36</v>
      </c>
      <c r="N65" s="1336">
        <f>SUM(N63:N64)</f>
        <v>16</v>
      </c>
      <c r="O65" s="1336">
        <f>SUM(O63:O64)</f>
        <v>0</v>
      </c>
      <c r="P65" s="1336">
        <f t="shared" si="357"/>
        <v>60</v>
      </c>
      <c r="S65" s="3325"/>
      <c r="T65" s="3326"/>
      <c r="U65" s="3326"/>
      <c r="V65" s="3326"/>
      <c r="W65" s="3327"/>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11"/>
      <c r="B66" s="3311"/>
      <c r="D66" s="1"/>
      <c r="E66" s="1"/>
      <c r="F66" s="1"/>
      <c r="G66" s="82"/>
      <c r="H66" s="110" t="s">
        <v>2445</v>
      </c>
      <c r="I66" s="36"/>
      <c r="J66" s="82"/>
      <c r="K66" s="915">
        <f>ED48</f>
        <v>0</v>
      </c>
      <c r="L66" s="915">
        <f>EE48</f>
        <v>0</v>
      </c>
      <c r="M66" s="915">
        <f>EF48</f>
        <v>0</v>
      </c>
      <c r="N66" s="915">
        <f>EG48</f>
        <v>0</v>
      </c>
      <c r="O66" s="915">
        <f>EH48</f>
        <v>0</v>
      </c>
      <c r="P66" s="915">
        <f t="shared" si="357"/>
        <v>0</v>
      </c>
      <c r="Q66" s="483" t="s">
        <v>3496</v>
      </c>
      <c r="S66" s="3325"/>
      <c r="T66" s="3326"/>
      <c r="U66" s="3326"/>
      <c r="V66" s="3326"/>
      <c r="W66" s="3327"/>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11"/>
      <c r="B67" s="3311"/>
      <c r="C67" s="4" t="s">
        <v>1749</v>
      </c>
      <c r="D67" s="1"/>
      <c r="E67" s="1"/>
      <c r="F67" s="1"/>
      <c r="G67" s="82"/>
      <c r="H67" s="110"/>
      <c r="I67" s="36"/>
      <c r="J67" s="82"/>
      <c r="K67" s="1326">
        <f>SUM(K65:K66)</f>
        <v>0</v>
      </c>
      <c r="L67" s="1326">
        <f>SUM(L65:L66)</f>
        <v>8</v>
      </c>
      <c r="M67" s="1326">
        <f>SUM(M65:M66)</f>
        <v>36</v>
      </c>
      <c r="N67" s="1326">
        <f>SUM(N65:N66)</f>
        <v>16</v>
      </c>
      <c r="O67" s="1326">
        <f>SUM(O65:O66)</f>
        <v>0</v>
      </c>
      <c r="P67" s="1326">
        <f t="shared" si="357"/>
        <v>60</v>
      </c>
      <c r="S67" s="3337"/>
      <c r="T67" s="3338"/>
      <c r="U67" s="3338"/>
      <c r="V67" s="3338"/>
      <c r="W67" s="3339"/>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11"/>
      <c r="B68" s="3311"/>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11"/>
      <c r="B69" s="3311"/>
      <c r="C69" s="3373" t="s">
        <v>4226</v>
      </c>
      <c r="D69" s="3373"/>
      <c r="E69" s="3373"/>
      <c r="F69" s="3373"/>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11"/>
      <c r="B70" s="3311"/>
      <c r="C70" s="3373"/>
      <c r="D70" s="3373"/>
      <c r="E70" s="3373"/>
      <c r="F70" s="3373"/>
      <c r="G70" s="8"/>
      <c r="H70" s="110" t="s">
        <v>4121</v>
      </c>
      <c r="I70" s="36"/>
      <c r="J70" s="1741"/>
      <c r="K70" s="2586" t="str">
        <f t="shared" ref="K70:P70" si="358">IF(OR(K56=0,K$67=0),"",K56/K$67)</f>
        <v/>
      </c>
      <c r="L70" s="2587" t="str">
        <f t="shared" si="358"/>
        <v/>
      </c>
      <c r="M70" s="2587" t="str">
        <f t="shared" si="358"/>
        <v/>
      </c>
      <c r="N70" s="2587" t="str">
        <f t="shared" si="358"/>
        <v/>
      </c>
      <c r="O70" s="2587" t="str">
        <f t="shared" si="358"/>
        <v/>
      </c>
      <c r="P70" s="2588" t="str">
        <f t="shared" si="358"/>
        <v/>
      </c>
      <c r="Q70" s="40" t="s">
        <v>4779</v>
      </c>
      <c r="S70" s="3344"/>
      <c r="T70" s="3345"/>
      <c r="U70" s="3345"/>
      <c r="V70" s="3345"/>
      <c r="W70" s="334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11"/>
      <c r="B71" s="3311"/>
      <c r="C71" s="1476"/>
      <c r="D71" s="8"/>
      <c r="E71" s="8"/>
      <c r="F71" s="8"/>
      <c r="G71" s="8"/>
      <c r="H71" s="110" t="s">
        <v>4801</v>
      </c>
      <c r="I71" s="36"/>
      <c r="J71" s="1"/>
      <c r="K71" s="2589" t="str">
        <f>IF(OR(K56=0,$P70="",K$67=0),"",$P70*K$67)</f>
        <v/>
      </c>
      <c r="L71" s="2589" t="str">
        <f>IF(OR(L56=0,$P70="",L$67=0),"",$P70*L$67)</f>
        <v/>
      </c>
      <c r="M71" s="2589" t="str">
        <f>IF(OR(M56=0,$P70="",M$67=0),"",$P70*M$67)</f>
        <v/>
      </c>
      <c r="N71" s="2589" t="str">
        <f>IF(OR(N56=0,$P70="",N$67=0),"",$P70*N$67)</f>
        <v/>
      </c>
      <c r="O71" s="2589" t="str">
        <f>IF(OR(O56=0,$P70="",O$67=0),"",$P70*O$67)</f>
        <v/>
      </c>
      <c r="P71" s="2590" t="str">
        <f t="shared" ref="P71" si="359">IF(OR($P70="",P$67=0),"",$P70*P$67)</f>
        <v/>
      </c>
      <c r="S71" s="3325"/>
      <c r="T71" s="3326"/>
      <c r="U71" s="3326"/>
      <c r="V71" s="3326"/>
      <c r="W71" s="3327"/>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1" t="s">
        <v>4802</v>
      </c>
      <c r="I72" s="2592"/>
      <c r="J72" s="1"/>
      <c r="K72" s="2593" t="str">
        <f t="shared" ref="K72:P72" si="360">IF(OR(K71="",K56=0),"", K56-K71)</f>
        <v/>
      </c>
      <c r="L72" s="2594" t="str">
        <f t="shared" si="360"/>
        <v/>
      </c>
      <c r="M72" s="2594" t="str">
        <f t="shared" si="360"/>
        <v/>
      </c>
      <c r="N72" s="2594" t="str">
        <f t="shared" si="360"/>
        <v/>
      </c>
      <c r="O72" s="2594" t="str">
        <f t="shared" si="360"/>
        <v/>
      </c>
      <c r="P72" s="2595" t="str">
        <f t="shared" si="360"/>
        <v/>
      </c>
      <c r="S72" s="3325"/>
      <c r="T72" s="3326"/>
      <c r="U72" s="3326"/>
      <c r="V72" s="3326"/>
      <c r="W72" s="3327"/>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74" t="s">
        <v>4778</v>
      </c>
      <c r="E73" s="3374"/>
      <c r="F73" s="3374"/>
      <c r="G73" s="8"/>
      <c r="H73" s="110" t="s">
        <v>4122</v>
      </c>
      <c r="I73" s="36"/>
      <c r="J73" s="1"/>
      <c r="K73" s="2596" t="str">
        <f t="shared" ref="K73:P73" si="361">IF(OR(K57=0,K$67=0),"",K57/K$67)</f>
        <v/>
      </c>
      <c r="L73" s="2597" t="str">
        <f t="shared" si="361"/>
        <v/>
      </c>
      <c r="M73" s="2597" t="str">
        <f t="shared" si="361"/>
        <v/>
      </c>
      <c r="N73" s="2597" t="str">
        <f t="shared" si="361"/>
        <v/>
      </c>
      <c r="O73" s="2597" t="str">
        <f t="shared" si="361"/>
        <v/>
      </c>
      <c r="P73" s="2598" t="str">
        <f t="shared" si="361"/>
        <v/>
      </c>
      <c r="S73" s="3325"/>
      <c r="T73" s="3326"/>
      <c r="U73" s="3326"/>
      <c r="V73" s="3326"/>
      <c r="W73" s="3327"/>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74"/>
      <c r="E74" s="3374"/>
      <c r="F74" s="3374"/>
      <c r="G74" s="8"/>
      <c r="H74" s="110" t="s">
        <v>4801</v>
      </c>
      <c r="I74" s="36"/>
      <c r="J74" s="1"/>
      <c r="K74" s="2589" t="str">
        <f>IF(OR(K57=0,$P73="",K$67=0),"",$P73*K$67)</f>
        <v/>
      </c>
      <c r="L74" s="2589" t="str">
        <f>IF(OR(L57=0,$P73="",L$67=0),"",$P73*L$67)</f>
        <v/>
      </c>
      <c r="M74" s="2589" t="str">
        <f>IF(OR(M57=0,$P73="",M$67=0),"",$P73*M$67)</f>
        <v/>
      </c>
      <c r="N74" s="2589" t="str">
        <f>IF(OR(N57=0,$P73="",N$67=0),"",$P73*N$67)</f>
        <v/>
      </c>
      <c r="O74" s="2589" t="str">
        <f>IF(OR(O57=0,$P73="",O$67=0),"",$P73*O$67)</f>
        <v/>
      </c>
      <c r="P74" s="2590" t="str">
        <f t="shared" ref="P74" si="362">IF(OR($P73="",P$67=0),"",$P73*P$67)</f>
        <v/>
      </c>
      <c r="S74" s="3325"/>
      <c r="T74" s="3326"/>
      <c r="U74" s="3326"/>
      <c r="V74" s="3326"/>
      <c r="W74" s="3327"/>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74"/>
      <c r="E75" s="3374"/>
      <c r="F75" s="3374"/>
      <c r="G75" s="8"/>
      <c r="H75" s="2591" t="s">
        <v>4802</v>
      </c>
      <c r="I75" s="2592"/>
      <c r="J75" s="1"/>
      <c r="K75" s="2593" t="str">
        <f t="shared" ref="K75:P75" si="363">IF(OR(K74="",K57=0),"", K57-K74)</f>
        <v/>
      </c>
      <c r="L75" s="2593" t="str">
        <f t="shared" si="363"/>
        <v/>
      </c>
      <c r="M75" s="2593" t="str">
        <f t="shared" si="363"/>
        <v/>
      </c>
      <c r="N75" s="2593" t="str">
        <f t="shared" si="363"/>
        <v/>
      </c>
      <c r="O75" s="2593" t="str">
        <f t="shared" si="363"/>
        <v/>
      </c>
      <c r="P75" s="2593" t="str">
        <f t="shared" si="363"/>
        <v/>
      </c>
      <c r="S75" s="3325"/>
      <c r="T75" s="3326"/>
      <c r="U75" s="3326"/>
      <c r="V75" s="3326"/>
      <c r="W75" s="3327"/>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74"/>
      <c r="E76" s="3374"/>
      <c r="F76" s="3374"/>
      <c r="G76" s="8"/>
      <c r="H76" s="110" t="s">
        <v>1127</v>
      </c>
      <c r="I76" s="36"/>
      <c r="J76" s="1"/>
      <c r="K76" s="2596" t="str">
        <f t="shared" ref="K76:P76" si="364">IF(OR(K58=0,K$67=0),"",K58/K$67)</f>
        <v/>
      </c>
      <c r="L76" s="2597">
        <f t="shared" si="364"/>
        <v>0.75</v>
      </c>
      <c r="M76" s="2597">
        <f t="shared" si="364"/>
        <v>0.83333333333333337</v>
      </c>
      <c r="N76" s="2597">
        <f t="shared" si="364"/>
        <v>0.75</v>
      </c>
      <c r="O76" s="2597" t="str">
        <f t="shared" si="364"/>
        <v/>
      </c>
      <c r="P76" s="2598">
        <f t="shared" si="364"/>
        <v>0.8</v>
      </c>
      <c r="S76" s="3325"/>
      <c r="T76" s="3326"/>
      <c r="U76" s="3326"/>
      <c r="V76" s="3326"/>
      <c r="W76" s="3327"/>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4"/>
      <c r="E77" s="3374"/>
      <c r="F77" s="3374"/>
      <c r="G77" s="8"/>
      <c r="H77" s="110" t="s">
        <v>4801</v>
      </c>
      <c r="I77" s="36"/>
      <c r="J77" s="1"/>
      <c r="K77" s="2589" t="str">
        <f>IF(OR(K58=0,$P76="",K$67=0),"",$P76*K$67)</f>
        <v/>
      </c>
      <c r="L77" s="2589">
        <f>IF(OR(L58=0,$P76="",L$67=0),"",$P76*L$67)</f>
        <v>6.4</v>
      </c>
      <c r="M77" s="2589">
        <f>IF(OR(M58=0,$P76="",M$67=0),"",$P76*M$67)</f>
        <v>28.8</v>
      </c>
      <c r="N77" s="2589">
        <f>IF(OR(N58=0,$P76="",N$67=0),"",$P76*N$67)</f>
        <v>12.8</v>
      </c>
      <c r="O77" s="2589" t="str">
        <f>IF(OR(O58=0,$P76="",O$67=0),"",$P76*O$67)</f>
        <v/>
      </c>
      <c r="P77" s="2590">
        <f t="shared" ref="P77" si="365">IF(OR($P76="",P$67=0),"",$P76*P$67)</f>
        <v>48</v>
      </c>
      <c r="S77" s="3337"/>
      <c r="T77" s="3338"/>
      <c r="U77" s="3338"/>
      <c r="V77" s="3338"/>
      <c r="W77" s="3339"/>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1" t="s">
        <v>4802</v>
      </c>
      <c r="I78" s="2592"/>
      <c r="J78" s="1"/>
      <c r="K78" s="2593" t="str">
        <f t="shared" ref="K78:P78" si="366">IF(OR(K77="",K58=0),"", K58-K77)</f>
        <v/>
      </c>
      <c r="L78" s="2593">
        <f t="shared" si="366"/>
        <v>-0.40000000000000036</v>
      </c>
      <c r="M78" s="2593">
        <f t="shared" si="366"/>
        <v>1.1999999999999993</v>
      </c>
      <c r="N78" s="2593">
        <f t="shared" si="366"/>
        <v>-0.80000000000000071</v>
      </c>
      <c r="O78" s="2593" t="str">
        <f t="shared" si="366"/>
        <v/>
      </c>
      <c r="P78" s="2593">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599"/>
      <c r="E79" s="2599"/>
      <c r="F79" s="8"/>
      <c r="G79" s="8"/>
      <c r="H79" s="110" t="s">
        <v>115</v>
      </c>
      <c r="I79" s="36"/>
      <c r="J79" s="1"/>
      <c r="K79" s="2596" t="str">
        <f t="shared" ref="K79:P79" si="367">IF(OR(K59=0,K$67=0),"",K59/K$67)</f>
        <v/>
      </c>
      <c r="L79" s="2597">
        <f t="shared" si="367"/>
        <v>0.25</v>
      </c>
      <c r="M79" s="2597">
        <f t="shared" si="367"/>
        <v>0.16666666666666666</v>
      </c>
      <c r="N79" s="2597">
        <f t="shared" si="367"/>
        <v>0.25</v>
      </c>
      <c r="O79" s="2597" t="str">
        <f t="shared" si="367"/>
        <v/>
      </c>
      <c r="P79" s="2598">
        <f t="shared" si="367"/>
        <v>0.2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9"/>
      <c r="E80" s="2599"/>
      <c r="F80" s="8"/>
      <c r="G80" s="8"/>
      <c r="H80" s="110" t="s">
        <v>4801</v>
      </c>
      <c r="I80" s="36"/>
      <c r="J80" s="1"/>
      <c r="K80" s="2589" t="str">
        <f>IF(OR(K59=0,$P79="",K$67=0),"",$P79*K$67)</f>
        <v/>
      </c>
      <c r="L80" s="2589">
        <f>IF(OR(L59=0,$P79="",L$67=0),"",$P79*L$67)</f>
        <v>1.6</v>
      </c>
      <c r="M80" s="2589">
        <f>IF(OR(M59=0,$P79="",M$67=0),"",$P79*M$67)</f>
        <v>7.2</v>
      </c>
      <c r="N80" s="2589">
        <f>IF(OR(N59=0,$P79="",N$67=0),"",$P79*N$67)</f>
        <v>3.2</v>
      </c>
      <c r="O80" s="2589" t="str">
        <f>IF(OR(O59=0,$P79="",O$67=0),"",$P79*O$67)</f>
        <v/>
      </c>
      <c r="P80" s="2590">
        <f t="shared" ref="P80" si="368">IF(OR($P79="",P$67=0),"",$P79*P$67)</f>
        <v>12</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9"/>
      <c r="E81" s="2599"/>
      <c r="F81" s="8"/>
      <c r="G81" s="8"/>
      <c r="H81" s="2591" t="s">
        <v>4802</v>
      </c>
      <c r="I81" s="2592"/>
      <c r="J81" s="1"/>
      <c r="K81" s="2593" t="str">
        <f t="shared" ref="K81:P81" si="369">IF(OR(K80="",K59=0),"", K59-K80)</f>
        <v/>
      </c>
      <c r="L81" s="2593">
        <f t="shared" si="369"/>
        <v>0.39999999999999991</v>
      </c>
      <c r="M81" s="2593">
        <f t="shared" si="369"/>
        <v>-1.2000000000000002</v>
      </c>
      <c r="N81" s="2593">
        <f t="shared" si="369"/>
        <v>0.79999999999999982</v>
      </c>
      <c r="O81" s="2593" t="str">
        <f t="shared" si="369"/>
        <v/>
      </c>
      <c r="P81" s="2593">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599"/>
      <c r="E82" s="2599"/>
      <c r="F82" s="8"/>
      <c r="G82" s="8"/>
      <c r="H82" s="110" t="s">
        <v>4123</v>
      </c>
      <c r="I82" s="36"/>
      <c r="J82" s="1"/>
      <c r="K82" s="2596" t="str">
        <f t="shared" ref="K82:P82" si="370">IF(OR(K60=0,K$67=0),"",K60/K$67)</f>
        <v/>
      </c>
      <c r="L82" s="2597" t="str">
        <f t="shared" si="370"/>
        <v/>
      </c>
      <c r="M82" s="2597" t="str">
        <f t="shared" si="370"/>
        <v/>
      </c>
      <c r="N82" s="2597" t="str">
        <f t="shared" si="370"/>
        <v/>
      </c>
      <c r="O82" s="2597" t="str">
        <f t="shared" si="370"/>
        <v/>
      </c>
      <c r="P82" s="2598"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89" t="str">
        <f>IF(OR(K60=0,$P82="",K$67=0),"",$P82*K$67)</f>
        <v/>
      </c>
      <c r="L83" s="2589" t="str">
        <f>IF(OR(L60=0,$P82="",L$67=0),"",$P82*L$67)</f>
        <v/>
      </c>
      <c r="M83" s="2589" t="str">
        <f>IF(OR(M60=0,$P82="",M$67=0),"",$P82*M$67)</f>
        <v/>
      </c>
      <c r="N83" s="2589" t="str">
        <f>IF(OR(N60=0,$P82="",N$67=0),"",$P82*N$67)</f>
        <v/>
      </c>
      <c r="O83" s="2589" t="str">
        <f>IF(OR(O60=0,$P82="",O$67=0),"",$P82*O$67)</f>
        <v/>
      </c>
      <c r="P83" s="2590"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1" t="s">
        <v>4802</v>
      </c>
      <c r="I84" s="2592"/>
      <c r="J84" s="1"/>
      <c r="K84" s="2593" t="str">
        <f t="shared" ref="K84:P84" si="372">IF(OR(K83="",K60=0),"", K60-K83)</f>
        <v/>
      </c>
      <c r="L84" s="2593" t="str">
        <f t="shared" si="372"/>
        <v/>
      </c>
      <c r="M84" s="2593" t="str">
        <f t="shared" si="372"/>
        <v/>
      </c>
      <c r="N84" s="2593" t="str">
        <f t="shared" si="372"/>
        <v/>
      </c>
      <c r="O84" s="2593" t="str">
        <f t="shared" si="372"/>
        <v/>
      </c>
      <c r="P84" s="2593"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4124</v>
      </c>
      <c r="I85" s="36"/>
      <c r="J85" s="1"/>
      <c r="K85" s="2596" t="str">
        <f t="shared" ref="K85:P85" si="373">IF(OR(K61=0,K$67=0),"",K61/K$67)</f>
        <v/>
      </c>
      <c r="L85" s="2597" t="str">
        <f t="shared" si="373"/>
        <v/>
      </c>
      <c r="M85" s="2597" t="str">
        <f t="shared" si="373"/>
        <v/>
      </c>
      <c r="N85" s="2597" t="str">
        <f t="shared" si="373"/>
        <v/>
      </c>
      <c r="O85" s="2597" t="str">
        <f t="shared" si="373"/>
        <v/>
      </c>
      <c r="P85" s="2598"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89" t="str">
        <f>IF(OR(K61=0,$P85="",K$67=0),"",$P85*K$67)</f>
        <v/>
      </c>
      <c r="L86" s="2589" t="str">
        <f>IF(OR(L61=0,$P85="",L$67=0),"",$P85*L$67)</f>
        <v/>
      </c>
      <c r="M86" s="2589" t="str">
        <f>IF(OR(M61=0,$P85="",M$67=0),"",$P85*M$67)</f>
        <v/>
      </c>
      <c r="N86" s="2589" t="str">
        <f>IF(OR(N61=0,$P85="",N$67=0),"",$P85*N$67)</f>
        <v/>
      </c>
      <c r="O86" s="2589" t="str">
        <f>IF(OR(O61=0,$P85="",O$67=0),"",$P85*O$67)</f>
        <v/>
      </c>
      <c r="P86" s="2590"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1" t="s">
        <v>4802</v>
      </c>
      <c r="I87" s="2592"/>
      <c r="J87" s="1"/>
      <c r="K87" s="2593" t="str">
        <f t="shared" ref="K87:P87" si="375">IF(OR(K86="",K61=0),"", K61-K86)</f>
        <v/>
      </c>
      <c r="L87" s="2593" t="str">
        <f t="shared" si="375"/>
        <v/>
      </c>
      <c r="M87" s="2593" t="str">
        <f t="shared" si="375"/>
        <v/>
      </c>
      <c r="N87" s="2593" t="str">
        <f t="shared" si="375"/>
        <v/>
      </c>
      <c r="O87" s="2593" t="str">
        <f t="shared" si="375"/>
        <v/>
      </c>
      <c r="P87" s="2593"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4125</v>
      </c>
      <c r="I88" s="52"/>
      <c r="J88" s="1"/>
      <c r="K88" s="2596" t="str">
        <f t="shared" ref="K88:P88" si="376">IF(OR(K62=0,K$67=0),"",K62/K$67)</f>
        <v/>
      </c>
      <c r="L88" s="2597" t="str">
        <f t="shared" si="376"/>
        <v/>
      </c>
      <c r="M88" s="2597" t="str">
        <f t="shared" si="376"/>
        <v/>
      </c>
      <c r="N88" s="2597" t="str">
        <f t="shared" si="376"/>
        <v/>
      </c>
      <c r="O88" s="2597" t="str">
        <f t="shared" si="376"/>
        <v/>
      </c>
      <c r="P88" s="2598"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00"/>
      <c r="E89" s="2600"/>
      <c r="F89" s="8"/>
      <c r="G89" s="8"/>
      <c r="H89" s="110" t="s">
        <v>4801</v>
      </c>
      <c r="I89" s="36"/>
      <c r="J89" s="1"/>
      <c r="K89" s="2589" t="str">
        <f>IF(OR(K62=0,$P88="",K$67=0),"",$P88*K$67)</f>
        <v/>
      </c>
      <c r="L89" s="2589" t="str">
        <f>IF(OR(L62=0,$P88="",L$67=0),"",$P88*L$67)</f>
        <v/>
      </c>
      <c r="M89" s="2589" t="str">
        <f>IF(OR(M62=0,$P88="",M$67=0),"",$P88*M$67)</f>
        <v/>
      </c>
      <c r="N89" s="2589" t="str">
        <f>IF(OR(N62=0,$P88="",N$67=0),"",$P88*N$67)</f>
        <v/>
      </c>
      <c r="O89" s="2589" t="str">
        <f>IF(OR(O62=0,$P88="",O$67=0),"",$P88*O$67)</f>
        <v/>
      </c>
      <c r="P89" s="2590"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9"/>
      <c r="E90" s="2599"/>
      <c r="F90" s="8"/>
      <c r="G90" s="8"/>
      <c r="H90" s="2591" t="s">
        <v>4802</v>
      </c>
      <c r="I90" s="2592"/>
      <c r="J90" s="1"/>
      <c r="K90" s="2601" t="str">
        <f t="shared" ref="K90:P90" si="378">IF(OR(K89="",K62=0),"", K62-K89)</f>
        <v/>
      </c>
      <c r="L90" s="2601" t="str">
        <f t="shared" si="378"/>
        <v/>
      </c>
      <c r="M90" s="2601" t="str">
        <f t="shared" si="378"/>
        <v/>
      </c>
      <c r="N90" s="2601" t="str">
        <f t="shared" si="378"/>
        <v/>
      </c>
      <c r="O90" s="2601" t="str">
        <f t="shared" si="378"/>
        <v/>
      </c>
      <c r="P90" s="2601"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3344"/>
      <c r="T93" s="3345"/>
      <c r="U93" s="3345"/>
      <c r="V93" s="3345"/>
      <c r="W93" s="334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4122</v>
      </c>
      <c r="I94" s="36"/>
      <c r="J94" s="82"/>
      <c r="K94" s="1365">
        <f>CK48</f>
        <v>0</v>
      </c>
      <c r="L94" s="1366">
        <f>CL48</f>
        <v>0</v>
      </c>
      <c r="M94" s="1366">
        <f>CM48</f>
        <v>0</v>
      </c>
      <c r="N94" s="1366">
        <f>CN48</f>
        <v>0</v>
      </c>
      <c r="O94" s="1367">
        <f>CO48</f>
        <v>0</v>
      </c>
      <c r="P94" s="1325">
        <f t="shared" si="379"/>
        <v>0</v>
      </c>
      <c r="S94" s="3325"/>
      <c r="T94" s="3326"/>
      <c r="U94" s="3326"/>
      <c r="V94" s="3326"/>
      <c r="W94" s="3327"/>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25"/>
      <c r="T95" s="3326"/>
      <c r="U95" s="3326"/>
      <c r="V95" s="3326"/>
      <c r="W95" s="3327"/>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25"/>
      <c r="T96" s="3326"/>
      <c r="U96" s="3326"/>
      <c r="V96" s="3326"/>
      <c r="W96" s="3327"/>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325"/>
      <c r="T97" s="3326"/>
      <c r="U97" s="3326"/>
      <c r="V97" s="3326"/>
      <c r="W97" s="3327"/>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325"/>
      <c r="T98" s="3326"/>
      <c r="U98" s="3326"/>
      <c r="V98" s="3326"/>
      <c r="W98" s="3327"/>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325"/>
      <c r="T99" s="3326"/>
      <c r="U99" s="3326"/>
      <c r="V99" s="3326"/>
      <c r="W99" s="3327"/>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37"/>
      <c r="T100" s="3338"/>
      <c r="U100" s="3338"/>
      <c r="V100" s="3338"/>
      <c r="W100" s="3339"/>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4424</v>
      </c>
      <c r="H102" s="89"/>
      <c r="L102" s="3320" t="str">
        <f>$L$53</f>
        <v>Income Averaging</v>
      </c>
      <c r="M102" s="3321"/>
      <c r="N102" s="3321"/>
      <c r="O102" s="3322"/>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3344"/>
      <c r="T104" s="3345"/>
      <c r="U104" s="3345"/>
      <c r="V104" s="3345"/>
      <c r="W104" s="334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325"/>
      <c r="T105" s="3326"/>
      <c r="U105" s="3326"/>
      <c r="V105" s="3326"/>
      <c r="W105" s="3327"/>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25"/>
      <c r="T106" s="3326"/>
      <c r="U106" s="3326"/>
      <c r="V106" s="3326"/>
      <c r="W106" s="3327"/>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25"/>
      <c r="T107" s="3326"/>
      <c r="U107" s="3326"/>
      <c r="V107" s="3326"/>
      <c r="W107" s="3327"/>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325"/>
      <c r="T108" s="3326"/>
      <c r="U108" s="3326"/>
      <c r="V108" s="3326"/>
      <c r="W108" s="3327"/>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325"/>
      <c r="T109" s="3326"/>
      <c r="U109" s="3326"/>
      <c r="V109" s="3326"/>
      <c r="W109" s="3327"/>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325"/>
      <c r="T110" s="3326"/>
      <c r="U110" s="3326"/>
      <c r="V110" s="3326"/>
      <c r="W110" s="3327"/>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37"/>
      <c r="T111" s="3338"/>
      <c r="U111" s="3338"/>
      <c r="V111" s="3338"/>
      <c r="W111" s="3339"/>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75" t="s">
        <v>36</v>
      </c>
      <c r="D113" s="3375"/>
      <c r="E113" s="103" t="s">
        <v>2237</v>
      </c>
      <c r="F113" s="1"/>
      <c r="G113" s="82"/>
      <c r="H113" s="110" t="s">
        <v>1404</v>
      </c>
      <c r="I113" s="36"/>
      <c r="J113" s="82"/>
      <c r="K113" s="1353">
        <f>GG48</f>
        <v>0</v>
      </c>
      <c r="L113" s="1354">
        <f>GH48</f>
        <v>8</v>
      </c>
      <c r="M113" s="1354">
        <f>GI48</f>
        <v>36</v>
      </c>
      <c r="N113" s="1354">
        <f>GJ48</f>
        <v>16</v>
      </c>
      <c r="O113" s="1355">
        <f>GK48</f>
        <v>0</v>
      </c>
      <c r="P113" s="919">
        <f t="shared" ref="P113:P123" si="381">SUM(K113:O113)</f>
        <v>60</v>
      </c>
      <c r="S113" s="3344"/>
      <c r="T113" s="3345"/>
      <c r="U113" s="3345"/>
      <c r="V113" s="3345"/>
      <c r="W113" s="334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75"/>
      <c r="D114" s="3375"/>
      <c r="E114" s="110"/>
      <c r="F114" s="1"/>
      <c r="G114" s="82"/>
      <c r="H114" s="110" t="s">
        <v>298</v>
      </c>
      <c r="I114" s="36"/>
      <c r="J114" s="82"/>
      <c r="K114" s="1359">
        <f>GL48</f>
        <v>0</v>
      </c>
      <c r="L114" s="1360">
        <f>GM48</f>
        <v>0</v>
      </c>
      <c r="M114" s="1360">
        <f>GN48</f>
        <v>0</v>
      </c>
      <c r="N114" s="1360">
        <f>GO48</f>
        <v>0</v>
      </c>
      <c r="O114" s="1361">
        <f>GP48</f>
        <v>0</v>
      </c>
      <c r="P114" s="915">
        <f t="shared" si="381"/>
        <v>0</v>
      </c>
      <c r="S114" s="3325"/>
      <c r="T114" s="3326"/>
      <c r="U114" s="3326"/>
      <c r="V114" s="3326"/>
      <c r="W114" s="3327"/>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75"/>
      <c r="D115" s="3375"/>
      <c r="E115" s="110"/>
      <c r="F115" s="1"/>
      <c r="G115" s="82"/>
      <c r="H115" s="165" t="s">
        <v>30</v>
      </c>
      <c r="I115" s="86"/>
      <c r="J115" s="82"/>
      <c r="K115" s="1328">
        <f>SUM(K113:K114)+GQ48</f>
        <v>0</v>
      </c>
      <c r="L115" s="1328">
        <f>SUM(L113:L114)+GR48</f>
        <v>8</v>
      </c>
      <c r="M115" s="1328">
        <f>SUM(M113:M114)+GS48</f>
        <v>36</v>
      </c>
      <c r="N115" s="1328">
        <f>SUM(N113:N114)+GT48</f>
        <v>16</v>
      </c>
      <c r="O115" s="1328">
        <f>SUM(O113:O114)+GU48</f>
        <v>0</v>
      </c>
      <c r="P115" s="1328">
        <f t="shared" si="381"/>
        <v>60</v>
      </c>
      <c r="S115" s="3325"/>
      <c r="T115" s="3326"/>
      <c r="U115" s="3326"/>
      <c r="V115" s="3326"/>
      <c r="W115" s="3327"/>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3375"/>
      <c r="D116" s="3375"/>
      <c r="E116" s="103" t="s">
        <v>2087</v>
      </c>
      <c r="F116" s="1"/>
      <c r="G116" s="82"/>
      <c r="H116" s="110" t="s">
        <v>1404</v>
      </c>
      <c r="I116" s="36"/>
      <c r="J116" s="82"/>
      <c r="K116" s="1353">
        <f>GV48</f>
        <v>0</v>
      </c>
      <c r="L116" s="1354">
        <f>GW48</f>
        <v>0</v>
      </c>
      <c r="M116" s="1354">
        <f>GX48</f>
        <v>0</v>
      </c>
      <c r="N116" s="1354">
        <f>GY48</f>
        <v>0</v>
      </c>
      <c r="O116" s="1355">
        <f>GZ48</f>
        <v>0</v>
      </c>
      <c r="P116" s="919">
        <f t="shared" si="381"/>
        <v>0</v>
      </c>
      <c r="S116" s="3325"/>
      <c r="T116" s="3326"/>
      <c r="U116" s="3326"/>
      <c r="V116" s="3326"/>
      <c r="W116" s="3327"/>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75"/>
      <c r="D117" s="3375"/>
      <c r="E117" s="110"/>
      <c r="F117" s="1"/>
      <c r="G117" s="82"/>
      <c r="H117" s="110" t="s">
        <v>298</v>
      </c>
      <c r="I117" s="36"/>
      <c r="J117" s="82"/>
      <c r="K117" s="1359">
        <f>HA48</f>
        <v>0</v>
      </c>
      <c r="L117" s="1360">
        <f>HB48</f>
        <v>0</v>
      </c>
      <c r="M117" s="1360">
        <f>HC48</f>
        <v>0</v>
      </c>
      <c r="N117" s="1360">
        <f>HD48</f>
        <v>0</v>
      </c>
      <c r="O117" s="1361">
        <f>HE48</f>
        <v>0</v>
      </c>
      <c r="P117" s="915">
        <f t="shared" si="381"/>
        <v>0</v>
      </c>
      <c r="S117" s="3325"/>
      <c r="T117" s="3326"/>
      <c r="U117" s="3326"/>
      <c r="V117" s="3326"/>
      <c r="W117" s="3327"/>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75"/>
      <c r="D118" s="3375"/>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25"/>
      <c r="T118" s="3326"/>
      <c r="U118" s="3326"/>
      <c r="V118" s="3326"/>
      <c r="W118" s="3327"/>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64" t="s">
        <v>1391</v>
      </c>
      <c r="F119" s="3364"/>
      <c r="G119" s="82"/>
      <c r="H119" s="110" t="s">
        <v>1404</v>
      </c>
      <c r="I119" s="36"/>
      <c r="J119" s="82"/>
      <c r="K119" s="1353">
        <f>HK48</f>
        <v>0</v>
      </c>
      <c r="L119" s="1354">
        <f>HL48</f>
        <v>0</v>
      </c>
      <c r="M119" s="1354">
        <f>HM48</f>
        <v>0</v>
      </c>
      <c r="N119" s="1354">
        <f>HN48</f>
        <v>0</v>
      </c>
      <c r="O119" s="1355">
        <f>HO48</f>
        <v>0</v>
      </c>
      <c r="P119" s="919">
        <f t="shared" si="381"/>
        <v>0</v>
      </c>
      <c r="S119" s="3325"/>
      <c r="T119" s="3326"/>
      <c r="U119" s="3326"/>
      <c r="V119" s="3326"/>
      <c r="W119" s="3327"/>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64"/>
      <c r="F120" s="3364"/>
      <c r="G120" s="82"/>
      <c r="H120" s="110" t="s">
        <v>298</v>
      </c>
      <c r="I120" s="36"/>
      <c r="J120" s="82"/>
      <c r="K120" s="1359">
        <f>HP48</f>
        <v>0</v>
      </c>
      <c r="L120" s="1360">
        <f>HQ48</f>
        <v>0</v>
      </c>
      <c r="M120" s="1360">
        <f>HR48</f>
        <v>0</v>
      </c>
      <c r="N120" s="1360">
        <f>HS48</f>
        <v>0</v>
      </c>
      <c r="O120" s="1361">
        <f>HT48</f>
        <v>0</v>
      </c>
      <c r="P120" s="915">
        <f t="shared" si="381"/>
        <v>0</v>
      </c>
      <c r="S120" s="3325"/>
      <c r="T120" s="3326"/>
      <c r="U120" s="3326"/>
      <c r="V120" s="3326"/>
      <c r="W120" s="3327"/>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25"/>
      <c r="T121" s="3326"/>
      <c r="U121" s="3326"/>
      <c r="V121" s="3326"/>
      <c r="W121" s="3327"/>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2"/>
      <c r="L122" s="2602"/>
      <c r="M122" s="2602"/>
      <c r="N122" s="2602"/>
      <c r="O122" s="2602"/>
      <c r="P122" s="569">
        <f t="shared" si="381"/>
        <v>0</v>
      </c>
      <c r="S122" s="3325"/>
      <c r="T122" s="3326"/>
      <c r="U122" s="3326"/>
      <c r="V122" s="3326"/>
      <c r="W122" s="3327"/>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407" t="str">
        <f>IF(AND('Part IV-A-Uses of Funds'!$T$172="Yes",'Part IX Scoring Criteria'!$O$415&gt;0,P123&lt;1),"SHOW HISTORIC UNITS HERE &gt;&gt;&gt;&gt;","")</f>
        <v/>
      </c>
      <c r="B123" s="3407"/>
      <c r="C123" s="3407"/>
      <c r="D123" s="3407"/>
      <c r="E123" s="480" t="s">
        <v>3283</v>
      </c>
      <c r="F123" s="1"/>
      <c r="G123" s="172"/>
      <c r="H123" s="111"/>
      <c r="I123" s="82"/>
      <c r="J123" s="82"/>
      <c r="K123" s="2603"/>
      <c r="L123" s="2603"/>
      <c r="M123" s="2603"/>
      <c r="N123" s="2603"/>
      <c r="O123" s="2603"/>
      <c r="P123" s="570">
        <f t="shared" si="381"/>
        <v>0</v>
      </c>
      <c r="S123" s="3325"/>
      <c r="T123" s="3326"/>
      <c r="U123" s="3326"/>
      <c r="V123" s="3326"/>
      <c r="W123" s="3327"/>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25"/>
      <c r="T124" s="3326"/>
      <c r="U124" s="3326"/>
      <c r="V124" s="3326"/>
      <c r="W124" s="3327"/>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37"/>
      <c r="T125" s="3338"/>
      <c r="U125" s="3338"/>
      <c r="V125" s="3338"/>
      <c r="W125" s="3339"/>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68" t="s">
        <v>3773</v>
      </c>
      <c r="D127" s="3368"/>
      <c r="E127" s="1090" t="s">
        <v>37</v>
      </c>
      <c r="F127" s="948"/>
      <c r="G127" s="1091"/>
      <c r="H127" s="1755"/>
      <c r="I127" s="1092"/>
      <c r="J127" s="1093"/>
      <c r="K127" s="1374">
        <f>SUM(K128:K137)</f>
        <v>0</v>
      </c>
      <c r="L127" s="1375">
        <f>SUM(L128:L137)</f>
        <v>8</v>
      </c>
      <c r="M127" s="1375">
        <f t="shared" ref="M127:N127" si="382">SUM(M128:M137)</f>
        <v>36</v>
      </c>
      <c r="N127" s="1375">
        <f t="shared" si="382"/>
        <v>16</v>
      </c>
      <c r="O127" s="1376">
        <f>SUM(O128:O137)</f>
        <v>0</v>
      </c>
      <c r="P127" s="1333">
        <f>SUM(P128:P137)</f>
        <v>60</v>
      </c>
      <c r="S127" s="3344"/>
      <c r="T127" s="3345"/>
      <c r="U127" s="3345"/>
      <c r="V127" s="3345"/>
      <c r="W127" s="334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9"/>
      <c r="D128" s="3369"/>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325"/>
      <c r="T128" s="3326"/>
      <c r="U128" s="3326"/>
      <c r="V128" s="3326"/>
      <c r="W128" s="3327"/>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9"/>
      <c r="D129" s="3369"/>
      <c r="E129" s="103"/>
      <c r="F129" s="5"/>
      <c r="G129" s="151"/>
      <c r="H129" s="1756" t="s">
        <v>3251</v>
      </c>
      <c r="I129" s="95"/>
      <c r="J129" s="1094"/>
      <c r="K129" s="1377">
        <f>JX48</f>
        <v>0</v>
      </c>
      <c r="L129" s="1378">
        <f>JY48</f>
        <v>0</v>
      </c>
      <c r="M129" s="1378">
        <f>JZ48</f>
        <v>0</v>
      </c>
      <c r="N129" s="1378">
        <f>KA48</f>
        <v>0</v>
      </c>
      <c r="O129" s="1379">
        <f>KB48</f>
        <v>0</v>
      </c>
      <c r="P129" s="572">
        <f t="shared" si="383"/>
        <v>0</v>
      </c>
      <c r="S129" s="3325"/>
      <c r="T129" s="3326"/>
      <c r="U129" s="3326"/>
      <c r="V129" s="3326"/>
      <c r="W129" s="3327"/>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9"/>
      <c r="D130" s="3369"/>
      <c r="E130" s="103"/>
      <c r="F130" s="5"/>
      <c r="G130" s="151"/>
      <c r="H130" s="1752" t="s">
        <v>2538</v>
      </c>
      <c r="I130" s="856"/>
      <c r="J130" s="1094"/>
      <c r="K130" s="1356">
        <f>KC48</f>
        <v>0</v>
      </c>
      <c r="L130" s="1357">
        <f>KD48</f>
        <v>0</v>
      </c>
      <c r="M130" s="1357">
        <f>KE48</f>
        <v>0</v>
      </c>
      <c r="N130" s="1357">
        <f>KF48</f>
        <v>0</v>
      </c>
      <c r="O130" s="1358">
        <f>KG48</f>
        <v>0</v>
      </c>
      <c r="P130" s="573">
        <f t="shared" si="383"/>
        <v>0</v>
      </c>
      <c r="S130" s="3325"/>
      <c r="T130" s="3326"/>
      <c r="U130" s="3326"/>
      <c r="V130" s="3326"/>
      <c r="W130" s="3327"/>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9"/>
      <c r="D131" s="3369"/>
      <c r="E131" s="103"/>
      <c r="F131" s="5"/>
      <c r="G131" s="151"/>
      <c r="H131" s="1756" t="s">
        <v>3251</v>
      </c>
      <c r="I131" s="95"/>
      <c r="J131" s="1094"/>
      <c r="K131" s="1377">
        <f>KH48</f>
        <v>0</v>
      </c>
      <c r="L131" s="1378">
        <f>KI48</f>
        <v>0</v>
      </c>
      <c r="M131" s="1378">
        <f>KJ48</f>
        <v>0</v>
      </c>
      <c r="N131" s="1378">
        <f>KK48</f>
        <v>0</v>
      </c>
      <c r="O131" s="1379">
        <f>KL48</f>
        <v>0</v>
      </c>
      <c r="P131" s="572">
        <f t="shared" si="383"/>
        <v>0</v>
      </c>
      <c r="S131" s="3325"/>
      <c r="T131" s="3326"/>
      <c r="U131" s="3326"/>
      <c r="V131" s="3326"/>
      <c r="W131" s="3327"/>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9"/>
      <c r="D132" s="3369"/>
      <c r="E132" s="103"/>
      <c r="F132" s="5"/>
      <c r="G132" s="151"/>
      <c r="H132" s="1752" t="s">
        <v>2540</v>
      </c>
      <c r="I132" s="856"/>
      <c r="J132" s="1094"/>
      <c r="K132" s="1356">
        <f>KM48</f>
        <v>0</v>
      </c>
      <c r="L132" s="1357">
        <f>KN48</f>
        <v>8</v>
      </c>
      <c r="M132" s="1357">
        <f>KO48</f>
        <v>36</v>
      </c>
      <c r="N132" s="1357">
        <f>KP48</f>
        <v>16</v>
      </c>
      <c r="O132" s="1358">
        <f>KQ48</f>
        <v>0</v>
      </c>
      <c r="P132" s="573">
        <f t="shared" si="383"/>
        <v>60</v>
      </c>
      <c r="S132" s="3325"/>
      <c r="T132" s="3326"/>
      <c r="U132" s="3326"/>
      <c r="V132" s="3326"/>
      <c r="W132" s="3327"/>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9"/>
      <c r="D133" s="3369"/>
      <c r="E133" s="103"/>
      <c r="F133" s="5"/>
      <c r="G133" s="151"/>
      <c r="H133" s="1756" t="s">
        <v>3251</v>
      </c>
      <c r="I133" s="95"/>
      <c r="J133" s="1094"/>
      <c r="K133" s="1377">
        <f>KR48</f>
        <v>0</v>
      </c>
      <c r="L133" s="1378">
        <f>KS48</f>
        <v>0</v>
      </c>
      <c r="M133" s="1378">
        <f>KT48</f>
        <v>0</v>
      </c>
      <c r="N133" s="1378">
        <f>KU48</f>
        <v>0</v>
      </c>
      <c r="O133" s="1379">
        <f>KV48</f>
        <v>0</v>
      </c>
      <c r="P133" s="572">
        <f t="shared" si="383"/>
        <v>0</v>
      </c>
      <c r="S133" s="3325"/>
      <c r="T133" s="3326"/>
      <c r="U133" s="3326"/>
      <c r="V133" s="3326"/>
      <c r="W133" s="3327"/>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9"/>
      <c r="D134" s="3369"/>
      <c r="E134" s="103"/>
      <c r="F134" s="1"/>
      <c r="G134" s="82"/>
      <c r="H134" s="1740" t="s">
        <v>2539</v>
      </c>
      <c r="I134" s="40"/>
      <c r="J134" s="82"/>
      <c r="K134" s="1356">
        <f>KW48</f>
        <v>0</v>
      </c>
      <c r="L134" s="1357">
        <f>KX48</f>
        <v>0</v>
      </c>
      <c r="M134" s="1357">
        <f>KY48</f>
        <v>0</v>
      </c>
      <c r="N134" s="1357">
        <f>KZ48</f>
        <v>0</v>
      </c>
      <c r="O134" s="1358">
        <f>LA48</f>
        <v>0</v>
      </c>
      <c r="P134" s="573">
        <f t="shared" si="383"/>
        <v>0</v>
      </c>
      <c r="S134" s="3325"/>
      <c r="T134" s="3326"/>
      <c r="U134" s="3326"/>
      <c r="V134" s="3326"/>
      <c r="W134" s="3327"/>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9"/>
      <c r="D135" s="3369"/>
      <c r="E135" s="103"/>
      <c r="F135" s="1"/>
      <c r="G135" s="82"/>
      <c r="H135" s="1757" t="s">
        <v>3251</v>
      </c>
      <c r="I135" s="852"/>
      <c r="J135" s="82"/>
      <c r="K135" s="1377">
        <f>LB48</f>
        <v>0</v>
      </c>
      <c r="L135" s="1378">
        <f>LC48</f>
        <v>0</v>
      </c>
      <c r="M135" s="1378">
        <f>LD48</f>
        <v>0</v>
      </c>
      <c r="N135" s="1378">
        <f>LE48</f>
        <v>0</v>
      </c>
      <c r="O135" s="1379">
        <f>LF48</f>
        <v>0</v>
      </c>
      <c r="P135" s="914">
        <f t="shared" si="383"/>
        <v>0</v>
      </c>
      <c r="S135" s="3325"/>
      <c r="T135" s="3326"/>
      <c r="U135" s="3326"/>
      <c r="V135" s="3326"/>
      <c r="W135" s="3327"/>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6"/>
      <c r="D136" s="2376"/>
      <c r="E136" s="103"/>
      <c r="F136" s="1"/>
      <c r="G136" s="82"/>
      <c r="H136" s="1740" t="s">
        <v>4796</v>
      </c>
      <c r="I136" s="40"/>
      <c r="J136" s="82"/>
      <c r="K136" s="1380">
        <f>LG48</f>
        <v>0</v>
      </c>
      <c r="L136" s="1381">
        <f>LH48</f>
        <v>0</v>
      </c>
      <c r="M136" s="1381">
        <f>LI48</f>
        <v>0</v>
      </c>
      <c r="N136" s="1381">
        <f>LJ48</f>
        <v>0</v>
      </c>
      <c r="O136" s="1382">
        <f>LK48</f>
        <v>0</v>
      </c>
      <c r="P136" s="573">
        <f t="shared" ref="P136:P137" si="384">SUM(K136:O136)</f>
        <v>0</v>
      </c>
      <c r="S136" s="3325"/>
      <c r="T136" s="3326"/>
      <c r="U136" s="3326"/>
      <c r="V136" s="3326"/>
      <c r="W136" s="3327"/>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6"/>
      <c r="D137" s="2376"/>
      <c r="E137" s="103"/>
      <c r="F137" s="1"/>
      <c r="G137" s="82"/>
      <c r="H137" s="1757" t="s">
        <v>3251</v>
      </c>
      <c r="I137" s="852"/>
      <c r="J137" s="82"/>
      <c r="K137" s="1356">
        <f>LL48</f>
        <v>0</v>
      </c>
      <c r="L137" s="1357">
        <f>LM48</f>
        <v>0</v>
      </c>
      <c r="M137" s="1357">
        <f>LN48</f>
        <v>0</v>
      </c>
      <c r="N137" s="1357">
        <f>LO48</f>
        <v>0</v>
      </c>
      <c r="O137" s="1358">
        <f>LP48</f>
        <v>0</v>
      </c>
      <c r="P137" s="914">
        <f t="shared" si="384"/>
        <v>0</v>
      </c>
      <c r="S137" s="3325"/>
      <c r="T137" s="3326"/>
      <c r="U137" s="3326"/>
      <c r="V137" s="3326"/>
      <c r="W137" s="3327"/>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25"/>
      <c r="T138" s="3326"/>
      <c r="U138" s="3326"/>
      <c r="V138" s="3326"/>
      <c r="W138" s="3327"/>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325"/>
      <c r="T139" s="3326"/>
      <c r="U139" s="3326"/>
      <c r="V139" s="3326"/>
      <c r="W139" s="3327"/>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25"/>
      <c r="T140" s="3326"/>
      <c r="U140" s="3326"/>
      <c r="V140" s="3326"/>
      <c r="W140" s="3327"/>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325"/>
      <c r="T141" s="3326"/>
      <c r="U141" s="3326"/>
      <c r="V141" s="3326"/>
      <c r="W141" s="3327"/>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25"/>
      <c r="T142" s="3326"/>
      <c r="U142" s="3326"/>
      <c r="V142" s="3326"/>
      <c r="W142" s="3327"/>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325"/>
      <c r="T143" s="3326"/>
      <c r="U143" s="3326"/>
      <c r="V143" s="3326"/>
      <c r="W143" s="3327"/>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25"/>
      <c r="T144" s="3326"/>
      <c r="U144" s="3326"/>
      <c r="V144" s="3326"/>
      <c r="W144" s="3327"/>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3337"/>
      <c r="T145" s="3338"/>
      <c r="U145" s="3338"/>
      <c r="V145" s="3338"/>
      <c r="W145" s="3339"/>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4424</v>
      </c>
      <c r="H147" s="89"/>
      <c r="L147" s="3320" t="str">
        <f>$L$53</f>
        <v>Income Averaging</v>
      </c>
      <c r="M147" s="3321"/>
      <c r="N147" s="3321"/>
      <c r="O147" s="3322"/>
      <c r="P147" s="82"/>
      <c r="S147" s="3348" t="str">
        <f>B147</f>
        <v>UNIT SUMMARY (Continued)</v>
      </c>
      <c r="T147" s="3348"/>
      <c r="U147" s="3348"/>
      <c r="V147" s="3348"/>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8" t="s">
        <v>4116</v>
      </c>
      <c r="D149" s="3368"/>
      <c r="E149" s="1090" t="s">
        <v>3246</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44"/>
      <c r="T149" s="3345"/>
      <c r="U149" s="3345"/>
      <c r="V149" s="3345"/>
      <c r="W149" s="334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9"/>
      <c r="D150" s="3369"/>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325"/>
      <c r="T150" s="3326"/>
      <c r="U150" s="3326"/>
      <c r="V150" s="3326"/>
      <c r="W150" s="3327"/>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9"/>
      <c r="D151" s="3369"/>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25"/>
      <c r="T151" s="3326"/>
      <c r="U151" s="3326"/>
      <c r="V151" s="3326"/>
      <c r="W151" s="3327"/>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9"/>
      <c r="D152" s="3369"/>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325"/>
      <c r="T152" s="3326"/>
      <c r="U152" s="3326"/>
      <c r="V152" s="3326"/>
      <c r="W152" s="3327"/>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9"/>
      <c r="D153" s="3369"/>
      <c r="E153" s="103" t="s">
        <v>3248</v>
      </c>
      <c r="F153" s="483"/>
      <c r="G153" s="151"/>
      <c r="H153" s="1752"/>
      <c r="I153" s="856"/>
      <c r="J153" s="1094"/>
      <c r="K153" s="1389">
        <f t="shared" ref="K153:O154" si="388">K132+K134</f>
        <v>0</v>
      </c>
      <c r="L153" s="1390">
        <f t="shared" si="388"/>
        <v>8</v>
      </c>
      <c r="M153" s="1390">
        <f t="shared" si="388"/>
        <v>36</v>
      </c>
      <c r="N153" s="1390">
        <f t="shared" si="388"/>
        <v>16</v>
      </c>
      <c r="O153" s="1391">
        <f t="shared" si="388"/>
        <v>0</v>
      </c>
      <c r="P153" s="917">
        <f t="shared" si="386"/>
        <v>60</v>
      </c>
      <c r="S153" s="3325"/>
      <c r="T153" s="3326"/>
      <c r="U153" s="3326"/>
      <c r="V153" s="3326"/>
      <c r="W153" s="3327"/>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9"/>
      <c r="D154" s="3369"/>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325"/>
      <c r="T154" s="3326"/>
      <c r="U154" s="3326"/>
      <c r="V154" s="3326"/>
      <c r="W154" s="3327"/>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9"/>
      <c r="D155" s="3369"/>
      <c r="E155" s="103" t="s">
        <v>3249</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25"/>
      <c r="T155" s="3326"/>
      <c r="U155" s="3326"/>
      <c r="V155" s="3326"/>
      <c r="W155" s="3327"/>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3328" t="s">
        <v>4450</v>
      </c>
      <c r="S156" s="3337"/>
      <c r="T156" s="3338"/>
      <c r="U156" s="3338"/>
      <c r="V156" s="3338"/>
      <c r="W156" s="3339"/>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28"/>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28"/>
      <c r="S158" s="2964" t="str">
        <f>B158</f>
        <v>Unit Square Footage:</v>
      </c>
      <c r="T158" s="2964"/>
      <c r="U158" s="2964"/>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44"/>
      <c r="T159" s="3345"/>
      <c r="U159" s="3345"/>
      <c r="V159" s="3345"/>
      <c r="W159" s="334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325"/>
      <c r="T160" s="3326"/>
      <c r="U160" s="3326"/>
      <c r="V160" s="3326"/>
      <c r="W160" s="3327"/>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4980</v>
      </c>
      <c r="M161" s="1396">
        <f>EU48</f>
        <v>31650</v>
      </c>
      <c r="N161" s="1396">
        <f>EV48</f>
        <v>15612</v>
      </c>
      <c r="O161" s="1397">
        <f>EW48</f>
        <v>0</v>
      </c>
      <c r="P161" s="1323">
        <f t="shared" si="390"/>
        <v>52242</v>
      </c>
      <c r="Q161" s="1555">
        <f t="shared" si="391"/>
        <v>1088.375</v>
      </c>
      <c r="S161" s="3325"/>
      <c r="T161" s="3326"/>
      <c r="U161" s="3326"/>
      <c r="V161" s="3326"/>
      <c r="W161" s="3327"/>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1660</v>
      </c>
      <c r="M162" s="1491">
        <f>EZ48</f>
        <v>6330</v>
      </c>
      <c r="N162" s="1491">
        <f>FA48</f>
        <v>5204</v>
      </c>
      <c r="O162" s="1492">
        <f>FB48</f>
        <v>0</v>
      </c>
      <c r="P162" s="1493">
        <f t="shared" si="390"/>
        <v>13194</v>
      </c>
      <c r="Q162" s="1555">
        <f t="shared" si="391"/>
        <v>1099.5</v>
      </c>
      <c r="S162" s="3325"/>
      <c r="T162" s="3326"/>
      <c r="U162" s="3326"/>
      <c r="V162" s="3326"/>
      <c r="W162" s="3327"/>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325"/>
      <c r="T163" s="3326"/>
      <c r="U163" s="3326"/>
      <c r="V163" s="3326"/>
      <c r="W163" s="3327"/>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325"/>
      <c r="T164" s="3326"/>
      <c r="U164" s="3326"/>
      <c r="V164" s="3326"/>
      <c r="W164" s="3327"/>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325"/>
      <c r="T165" s="3326"/>
      <c r="U165" s="3326"/>
      <c r="V165" s="3326"/>
      <c r="W165" s="3327"/>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6640</v>
      </c>
      <c r="M166" s="1332">
        <f>SUM(M159:M165)</f>
        <v>37980</v>
      </c>
      <c r="N166" s="1332">
        <f>SUM(N159:N165)</f>
        <v>20816</v>
      </c>
      <c r="O166" s="1332">
        <f>SUM(O159:O165)</f>
        <v>0</v>
      </c>
      <c r="P166" s="1332">
        <f>SUM(K166:O166)</f>
        <v>65436</v>
      </c>
      <c r="S166" s="3325"/>
      <c r="T166" s="3326"/>
      <c r="U166" s="3326"/>
      <c r="V166" s="3326"/>
      <c r="W166" s="3327"/>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325"/>
      <c r="T167" s="3326"/>
      <c r="U167" s="3326"/>
      <c r="V167" s="3326"/>
      <c r="W167" s="3327"/>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6640</v>
      </c>
      <c r="M168" s="1331">
        <f>SUM(M166:M167)</f>
        <v>37980</v>
      </c>
      <c r="N168" s="1331">
        <f>SUM(N166:N167)</f>
        <v>20816</v>
      </c>
      <c r="O168" s="1331">
        <f>SUM(O166:O167)</f>
        <v>0</v>
      </c>
      <c r="P168" s="1331">
        <f>SUM(K168:O168)</f>
        <v>65436</v>
      </c>
      <c r="S168" s="3325"/>
      <c r="T168" s="3326"/>
      <c r="U168" s="3326"/>
      <c r="V168" s="3326"/>
      <c r="W168" s="3327"/>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25"/>
      <c r="T169" s="3326"/>
      <c r="U169" s="3326"/>
      <c r="V169" s="3326"/>
      <c r="W169" s="3327"/>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6640</v>
      </c>
      <c r="M170" s="1329">
        <f>SUM(M168:M169)</f>
        <v>37980</v>
      </c>
      <c r="N170" s="1329">
        <f>SUM(N168:N169)</f>
        <v>20816</v>
      </c>
      <c r="O170" s="1329">
        <f>SUM(O168:O169)</f>
        <v>0</v>
      </c>
      <c r="P170" s="1329">
        <f>SUM(K170:O170)</f>
        <v>65436</v>
      </c>
      <c r="S170" s="3337"/>
      <c r="T170" s="3338"/>
      <c r="U170" s="3338"/>
      <c r="V170" s="3338"/>
      <c r="W170" s="3339"/>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4" t="str">
        <f>IF(OR(K67="",K67=0),"",K170/K67)</f>
        <v/>
      </c>
      <c r="L173" s="1554">
        <f>IF(OR(L67="",L67=0),"",L170/L67)</f>
        <v>830</v>
      </c>
      <c r="M173" s="1554">
        <f>IF(OR(M67="",M67=0),"",M170/M67)</f>
        <v>1055</v>
      </c>
      <c r="N173" s="1554">
        <f>IF(OR(N67="",N67=0),"",N170/N67)</f>
        <v>1301</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70">
        <f>'Part VII-Pro Forma'!B9*M49</f>
        <v>7251.84</v>
      </c>
      <c r="I178" s="3371"/>
      <c r="J178" s="3372"/>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4"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4"/>
      <c r="I182" s="2604"/>
      <c r="J182" s="2604"/>
      <c r="K182" s="2604"/>
      <c r="L182" s="2604"/>
      <c r="M182" s="2604"/>
      <c r="N182" s="2604"/>
      <c r="O182" s="2604"/>
      <c r="P182" s="2604"/>
      <c r="Q182" s="2604"/>
      <c r="R182" s="837"/>
      <c r="S182" s="3344"/>
      <c r="T182" s="3345"/>
      <c r="U182" s="3345"/>
      <c r="V182" s="3345"/>
      <c r="W182" s="3346"/>
    </row>
    <row r="183" spans="1:503" ht="15.6" customHeight="1">
      <c r="B183" s="110" t="s">
        <v>723</v>
      </c>
      <c r="C183" s="3365"/>
      <c r="D183" s="3366"/>
      <c r="E183" s="3366"/>
      <c r="F183" s="3367"/>
      <c r="H183" s="2605"/>
      <c r="I183" s="2605"/>
      <c r="J183" s="2605"/>
      <c r="K183" s="2605"/>
      <c r="L183" s="2606"/>
      <c r="M183" s="2605"/>
      <c r="N183" s="2605"/>
      <c r="O183" s="2605"/>
      <c r="P183" s="2605"/>
      <c r="Q183" s="2605"/>
      <c r="R183" s="837"/>
      <c r="S183" s="3325"/>
      <c r="T183" s="3326"/>
      <c r="U183" s="3326"/>
      <c r="V183" s="3326"/>
      <c r="W183" s="3327"/>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37"/>
      <c r="T184" s="3338"/>
      <c r="U184" s="3338"/>
      <c r="V184" s="3338"/>
      <c r="W184" s="3339"/>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4"/>
      <c r="I186" s="2604"/>
      <c r="J186" s="2604"/>
      <c r="K186" s="2604"/>
      <c r="L186" s="2604"/>
      <c r="M186" s="2604"/>
      <c r="N186" s="2604"/>
      <c r="O186" s="2604"/>
      <c r="P186" s="2604"/>
      <c r="Q186" s="2604"/>
      <c r="R186" s="837"/>
      <c r="S186" s="3344"/>
      <c r="T186" s="3345"/>
      <c r="U186" s="3345"/>
      <c r="V186" s="3345"/>
      <c r="W186" s="3346"/>
    </row>
    <row r="187" spans="1:503" ht="15.6" customHeight="1">
      <c r="B187" s="110" t="s">
        <v>723</v>
      </c>
      <c r="C187" s="3365"/>
      <c r="D187" s="3366"/>
      <c r="E187" s="3366"/>
      <c r="F187" s="3367"/>
      <c r="H187" s="2605"/>
      <c r="I187" s="2605"/>
      <c r="J187" s="2605"/>
      <c r="K187" s="2605"/>
      <c r="L187" s="2606"/>
      <c r="M187" s="2605"/>
      <c r="N187" s="2605"/>
      <c r="O187" s="2605"/>
      <c r="P187" s="2605"/>
      <c r="Q187" s="2605"/>
      <c r="R187" s="837"/>
      <c r="S187" s="3325"/>
      <c r="T187" s="3326"/>
      <c r="U187" s="3326"/>
      <c r="V187" s="3326"/>
      <c r="W187" s="3327"/>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37"/>
      <c r="T188" s="3338"/>
      <c r="U188" s="3338"/>
      <c r="V188" s="3338"/>
      <c r="W188" s="3339"/>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2604"/>
      <c r="I191" s="2604"/>
      <c r="J191" s="2604"/>
      <c r="K191" s="2604"/>
      <c r="L191" s="2607"/>
      <c r="M191" s="2604"/>
      <c r="N191" s="2604"/>
      <c r="O191" s="2604"/>
      <c r="P191" s="2604"/>
      <c r="Q191" s="2604"/>
      <c r="R191" s="837"/>
      <c r="S191" s="3344"/>
      <c r="T191" s="3345"/>
      <c r="U191" s="3345"/>
      <c r="V191" s="3345"/>
      <c r="W191" s="334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5"/>
      <c r="D192" s="3366"/>
      <c r="E192" s="3366"/>
      <c r="F192" s="3367"/>
      <c r="H192" s="2605"/>
      <c r="I192" s="2605"/>
      <c r="J192" s="2605"/>
      <c r="K192" s="2605"/>
      <c r="L192" s="2606"/>
      <c r="M192" s="2605"/>
      <c r="N192" s="2605"/>
      <c r="O192" s="2605"/>
      <c r="P192" s="2605"/>
      <c r="Q192" s="2605"/>
      <c r="R192" s="837"/>
      <c r="S192" s="3325"/>
      <c r="T192" s="3326"/>
      <c r="U192" s="3326"/>
      <c r="V192" s="3326"/>
      <c r="W192" s="332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37"/>
      <c r="T193" s="3338"/>
      <c r="U193" s="3338"/>
      <c r="V193" s="3338"/>
      <c r="W193" s="333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4"/>
      <c r="I195" s="2604"/>
      <c r="J195" s="2604"/>
      <c r="K195" s="2604"/>
      <c r="L195" s="2607"/>
      <c r="M195" s="2604"/>
      <c r="N195" s="2604"/>
      <c r="O195" s="2604"/>
      <c r="P195" s="2604"/>
      <c r="Q195" s="2604"/>
      <c r="R195" s="837"/>
      <c r="S195" s="3344"/>
      <c r="T195" s="3345"/>
      <c r="U195" s="3345"/>
      <c r="V195" s="3345"/>
      <c r="W195" s="334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5"/>
      <c r="D196" s="3366"/>
      <c r="E196" s="3366"/>
      <c r="F196" s="3367"/>
      <c r="H196" s="2605"/>
      <c r="I196" s="2605"/>
      <c r="J196" s="2605"/>
      <c r="K196" s="2605"/>
      <c r="L196" s="2606"/>
      <c r="M196" s="2605"/>
      <c r="N196" s="2605"/>
      <c r="O196" s="2605"/>
      <c r="P196" s="2605"/>
      <c r="Q196" s="2605"/>
      <c r="R196" s="837"/>
      <c r="S196" s="3325"/>
      <c r="T196" s="3326"/>
      <c r="U196" s="3326"/>
      <c r="V196" s="3326"/>
      <c r="W196" s="332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37"/>
      <c r="T197" s="3338"/>
      <c r="U197" s="3338"/>
      <c r="V197" s="3338"/>
      <c r="W197" s="333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4"/>
      <c r="I200" s="2604"/>
      <c r="J200" s="2604"/>
      <c r="K200" s="2604"/>
      <c r="L200" s="2607"/>
      <c r="M200" s="2604"/>
      <c r="N200" s="2604"/>
      <c r="O200" s="2604"/>
      <c r="P200" s="2604"/>
      <c r="Q200" s="2604"/>
      <c r="R200" s="837"/>
      <c r="S200" s="3344"/>
      <c r="T200" s="3345"/>
      <c r="U200" s="3345"/>
      <c r="V200" s="3345"/>
      <c r="W200" s="334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5"/>
      <c r="D201" s="3366"/>
      <c r="E201" s="3366"/>
      <c r="F201" s="3367"/>
      <c r="H201" s="2605"/>
      <c r="I201" s="2605"/>
      <c r="J201" s="2605"/>
      <c r="K201" s="2605"/>
      <c r="L201" s="2606"/>
      <c r="M201" s="2605"/>
      <c r="N201" s="2605"/>
      <c r="O201" s="2605"/>
      <c r="P201" s="2605"/>
      <c r="Q201" s="2605"/>
      <c r="R201" s="837"/>
      <c r="S201" s="3325"/>
      <c r="T201" s="3326"/>
      <c r="U201" s="3326"/>
      <c r="V201" s="3326"/>
      <c r="W201" s="332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37"/>
      <c r="T202" s="3338"/>
      <c r="U202" s="3338"/>
      <c r="V202" s="3338"/>
      <c r="W202" s="333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4"/>
      <c r="I204" s="2604"/>
      <c r="J204" s="2604"/>
      <c r="K204" s="2604"/>
      <c r="L204" s="2607"/>
      <c r="M204" s="2604"/>
      <c r="N204" s="2604"/>
      <c r="O204" s="2604"/>
      <c r="P204" s="2604"/>
      <c r="Q204" s="2604"/>
      <c r="R204" s="837"/>
      <c r="S204" s="3344"/>
      <c r="T204" s="3345"/>
      <c r="U204" s="3345"/>
      <c r="V204" s="3345"/>
      <c r="W204" s="334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5"/>
      <c r="D205" s="3366"/>
      <c r="E205" s="3366"/>
      <c r="F205" s="3367"/>
      <c r="H205" s="2605"/>
      <c r="I205" s="2605"/>
      <c r="J205" s="2605"/>
      <c r="K205" s="2605"/>
      <c r="L205" s="2606"/>
      <c r="M205" s="2605"/>
      <c r="N205" s="2605"/>
      <c r="O205" s="2605"/>
      <c r="P205" s="2605"/>
      <c r="Q205" s="2605"/>
      <c r="R205" s="837"/>
      <c r="S205" s="3325"/>
      <c r="T205" s="3326"/>
      <c r="U205" s="3326"/>
      <c r="V205" s="3326"/>
      <c r="W205" s="332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37"/>
      <c r="T206" s="3338"/>
      <c r="U206" s="3338"/>
      <c r="V206" s="3338"/>
      <c r="W206" s="333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2604"/>
      <c r="I209" s="2604"/>
      <c r="J209" s="2604"/>
      <c r="K209" s="2604"/>
      <c r="L209" s="2607"/>
      <c r="M209" s="89"/>
      <c r="N209" s="89"/>
      <c r="O209" s="89"/>
      <c r="P209" s="89"/>
      <c r="Q209" s="89"/>
      <c r="R209" s="8"/>
      <c r="S209" s="3344"/>
      <c r="T209" s="3345"/>
      <c r="U209" s="3345"/>
      <c r="V209" s="3345"/>
      <c r="W209" s="3346"/>
    </row>
    <row r="210" spans="1:503" ht="15.6" customHeight="1">
      <c r="B210" s="110" t="s">
        <v>723</v>
      </c>
      <c r="C210" s="3365"/>
      <c r="D210" s="3366"/>
      <c r="E210" s="3366"/>
      <c r="F210" s="3367"/>
      <c r="H210" s="2605"/>
      <c r="I210" s="2605"/>
      <c r="J210" s="2605"/>
      <c r="K210" s="2605"/>
      <c r="L210" s="2606"/>
      <c r="M210" s="89"/>
      <c r="N210" s="89"/>
      <c r="O210" s="89"/>
      <c r="P210" s="89"/>
      <c r="Q210" s="89"/>
      <c r="R210" s="8"/>
      <c r="S210" s="3325"/>
      <c r="T210" s="3326"/>
      <c r="U210" s="3326"/>
      <c r="V210" s="3326"/>
      <c r="W210" s="3327"/>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37"/>
      <c r="T211" s="3338"/>
      <c r="U211" s="3338"/>
      <c r="V211" s="3338"/>
      <c r="W211" s="3339"/>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4"/>
      <c r="I213" s="2604"/>
      <c r="J213" s="2604"/>
      <c r="K213" s="2604"/>
      <c r="L213" s="2607"/>
      <c r="M213" s="89"/>
      <c r="N213" s="89"/>
      <c r="O213" s="89"/>
      <c r="P213" s="89"/>
      <c r="Q213" s="89"/>
      <c r="R213" s="8"/>
      <c r="S213" s="3344"/>
      <c r="T213" s="3345"/>
      <c r="U213" s="3345"/>
      <c r="V213" s="3345"/>
      <c r="W213" s="3346"/>
    </row>
    <row r="214" spans="1:503" ht="15.6" customHeight="1">
      <c r="B214" s="110" t="s">
        <v>723</v>
      </c>
      <c r="C214" s="3365"/>
      <c r="D214" s="3366"/>
      <c r="E214" s="3366"/>
      <c r="F214" s="3367"/>
      <c r="H214" s="2605"/>
      <c r="I214" s="2605"/>
      <c r="J214" s="2605"/>
      <c r="K214" s="2605"/>
      <c r="L214" s="2606"/>
      <c r="M214" s="89"/>
      <c r="N214" s="89"/>
      <c r="O214" s="89"/>
      <c r="P214" s="89"/>
      <c r="Q214" s="89"/>
      <c r="R214" s="8"/>
      <c r="S214" s="3325"/>
      <c r="T214" s="3326"/>
      <c r="U214" s="3326"/>
      <c r="V214" s="3326"/>
      <c r="W214" s="3327"/>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37"/>
      <c r="T215" s="3338"/>
      <c r="U215" s="3338"/>
      <c r="V215" s="3338"/>
      <c r="W215" s="333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30956</v>
      </c>
      <c r="R219" s="1"/>
      <c r="S219" s="3344"/>
      <c r="T219" s="3345"/>
      <c r="U219" s="3345"/>
      <c r="V219" s="3345"/>
      <c r="W219" s="334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8">
        <v>31959</v>
      </c>
      <c r="G220" s="3359"/>
      <c r="H220" s="1"/>
      <c r="I220" s="1" t="s">
        <v>1351</v>
      </c>
      <c r="K220" s="1"/>
      <c r="L220" s="3358"/>
      <c r="M220" s="3359"/>
      <c r="N220" s="1"/>
      <c r="O220" s="391">
        <f>+Q219/(P67*0.93)</f>
        <v>554.76702508960568</v>
      </c>
      <c r="P220" s="66" t="s">
        <v>2667</v>
      </c>
      <c r="Q220" s="1"/>
      <c r="R220" s="837"/>
      <c r="S220" s="3325"/>
      <c r="T220" s="3326"/>
      <c r="U220" s="3326"/>
      <c r="V220" s="3326"/>
      <c r="W220" s="332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60">
        <v>31959</v>
      </c>
      <c r="G221" s="3361"/>
      <c r="H221" s="1"/>
      <c r="I221" s="1" t="s">
        <v>1352</v>
      </c>
      <c r="K221" s="1"/>
      <c r="L221" s="3362"/>
      <c r="M221" s="3363"/>
      <c r="N221" s="1"/>
      <c r="O221" s="391">
        <f>+Q219/(P67*0.93)/12</f>
        <v>46.230585424133807</v>
      </c>
      <c r="P221" s="66" t="s">
        <v>2668</v>
      </c>
      <c r="Q221" s="1"/>
      <c r="R221" s="837"/>
      <c r="S221" s="3325"/>
      <c r="T221" s="3326"/>
      <c r="U221" s="3326"/>
      <c r="V221" s="3326"/>
      <c r="W221" s="332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60"/>
      <c r="G222" s="3361"/>
      <c r="H222" s="1"/>
      <c r="I222" s="1"/>
      <c r="K222" s="122" t="s">
        <v>187</v>
      </c>
      <c r="L222" s="3385">
        <f>SUM(L220:M221)</f>
        <v>0</v>
      </c>
      <c r="M222" s="3386"/>
      <c r="N222" s="1"/>
      <c r="O222" s="36" t="s">
        <v>3546</v>
      </c>
      <c r="P222" s="930"/>
      <c r="Q222" s="930"/>
      <c r="R222" s="837"/>
      <c r="S222" s="3325"/>
      <c r="T222" s="3326"/>
      <c r="U222" s="3326"/>
      <c r="V222" s="3326"/>
      <c r="W222" s="332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3360"/>
      <c r="G223" s="3361"/>
      <c r="H223" s="1"/>
      <c r="I223" s="1"/>
      <c r="K223" s="1"/>
      <c r="L223" s="1"/>
      <c r="M223" s="1"/>
      <c r="N223" s="1"/>
      <c r="R223" s="837"/>
      <c r="S223" s="3325"/>
      <c r="T223" s="3326"/>
      <c r="U223" s="3326"/>
      <c r="V223" s="3326"/>
      <c r="W223" s="332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3360"/>
      <c r="G224" s="3361"/>
      <c r="H224" s="1"/>
      <c r="I224" s="1"/>
      <c r="K224" s="1"/>
      <c r="L224" s="1"/>
      <c r="M224" s="1"/>
      <c r="N224" s="1"/>
      <c r="R224" s="837"/>
      <c r="S224" s="3325"/>
      <c r="T224" s="3326"/>
      <c r="U224" s="3326"/>
      <c r="V224" s="3326"/>
      <c r="W224" s="332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76" t="s">
        <v>49</v>
      </c>
      <c r="C225" s="3377"/>
      <c r="D225" s="3377"/>
      <c r="E225" s="3378"/>
      <c r="F225" s="3362"/>
      <c r="G225" s="3363"/>
      <c r="H225" s="1"/>
      <c r="I225" s="10" t="s">
        <v>1266</v>
      </c>
      <c r="K225" s="1"/>
      <c r="L225" s="1"/>
      <c r="M225" s="1"/>
      <c r="N225" s="1"/>
      <c r="R225" s="837"/>
      <c r="S225" s="3325"/>
      <c r="T225" s="3326"/>
      <c r="U225" s="3326"/>
      <c r="V225" s="3326"/>
      <c r="W225" s="332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85">
        <f>SUM(F220:G225)</f>
        <v>63918</v>
      </c>
      <c r="G226" s="3386"/>
      <c r="H226" s="1"/>
      <c r="I226" s="1" t="s">
        <v>1569</v>
      </c>
      <c r="K226" s="1"/>
      <c r="L226" s="3381">
        <v>1220</v>
      </c>
      <c r="M226" s="3382"/>
      <c r="N226" s="1"/>
      <c r="R226" s="1"/>
      <c r="S226" s="3325"/>
      <c r="T226" s="3326"/>
      <c r="U226" s="3326"/>
      <c r="V226" s="3326"/>
      <c r="W226" s="332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83">
        <v>4000</v>
      </c>
      <c r="M227" s="3384"/>
      <c r="N227" s="3347" t="str">
        <f>IF(Q229="","",IF(Q227&lt;Q229, "WARNING! OE below required minimum.",""))</f>
        <v/>
      </c>
      <c r="O227" s="10" t="s">
        <v>2136</v>
      </c>
      <c r="P227" s="5"/>
      <c r="Q227" s="401">
        <f>F226+F235+F246+L222+L230+L239+L246+Q219</f>
        <v>244144</v>
      </c>
      <c r="R227" s="5"/>
      <c r="S227" s="3325"/>
      <c r="T227" s="3326"/>
      <c r="U227" s="3326"/>
      <c r="V227" s="3326"/>
      <c r="W227" s="332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83">
        <v>250</v>
      </c>
      <c r="M228" s="3384"/>
      <c r="N228" s="3347"/>
      <c r="O228" s="66" t="s">
        <v>2669</v>
      </c>
      <c r="P228" s="391">
        <f>+Q227/P67</f>
        <v>4069.0666666666666</v>
      </c>
      <c r="R228" s="838"/>
      <c r="S228" s="3325"/>
      <c r="T228" s="3326"/>
      <c r="U228" s="3326"/>
      <c r="V228" s="3326"/>
      <c r="W228" s="332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8">
        <v>2796</v>
      </c>
      <c r="G229" s="3359"/>
      <c r="H229" s="1"/>
      <c r="I229" s="3312" t="s">
        <v>49</v>
      </c>
      <c r="J229" s="3313"/>
      <c r="K229" s="3314"/>
      <c r="L229" s="3379"/>
      <c r="M229" s="3380"/>
      <c r="N229" s="3347"/>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325"/>
      <c r="T229" s="3326"/>
      <c r="U229" s="3326"/>
      <c r="V229" s="3326"/>
      <c r="W229" s="332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60">
        <v>2124</v>
      </c>
      <c r="G230" s="3361"/>
      <c r="H230" s="1"/>
      <c r="I230" s="10"/>
      <c r="K230" s="11" t="s">
        <v>187</v>
      </c>
      <c r="L230" s="3387">
        <f>SUM(L226:L229)</f>
        <v>5470</v>
      </c>
      <c r="M230" s="3388"/>
      <c r="N230" s="3347"/>
      <c r="R230" s="1"/>
      <c r="S230" s="3325"/>
      <c r="T230" s="3326"/>
      <c r="U230" s="3326"/>
      <c r="V230" s="3326"/>
      <c r="W230" s="332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60">
        <v>1200</v>
      </c>
      <c r="G231" s="3361"/>
      <c r="H231" s="1"/>
      <c r="N231" s="1"/>
      <c r="R231" s="2383"/>
      <c r="S231" s="3325"/>
      <c r="T231" s="3326"/>
      <c r="U231" s="3326"/>
      <c r="V231" s="3326"/>
      <c r="W231" s="332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60">
        <v>7176</v>
      </c>
      <c r="G232" s="3361"/>
      <c r="H232" s="1"/>
      <c r="L232" s="1"/>
      <c r="M232" s="1"/>
      <c r="N232" s="1"/>
      <c r="R232" s="2383"/>
      <c r="S232" s="3325"/>
      <c r="T232" s="3326"/>
      <c r="U232" s="3326"/>
      <c r="V232" s="3326"/>
      <c r="W232" s="332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60">
        <v>400</v>
      </c>
      <c r="G233" s="3361"/>
      <c r="H233" s="1"/>
      <c r="I233" s="10" t="s">
        <v>1348</v>
      </c>
      <c r="K233" s="2352" t="s">
        <v>4436</v>
      </c>
      <c r="O233" s="1590" t="s">
        <v>3361</v>
      </c>
      <c r="P233" s="10"/>
      <c r="Q233" s="2608">
        <f>Q242</f>
        <v>15000</v>
      </c>
      <c r="S233" s="3325"/>
      <c r="T233" s="3326"/>
      <c r="U233" s="3326"/>
      <c r="V233" s="3326"/>
      <c r="W233" s="332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76" t="s">
        <v>49</v>
      </c>
      <c r="C234" s="3377"/>
      <c r="D234" s="3377"/>
      <c r="E234" s="3378"/>
      <c r="F234" s="3362"/>
      <c r="G234" s="3363"/>
      <c r="H234" s="1"/>
      <c r="I234" s="1" t="s">
        <v>1341</v>
      </c>
      <c r="K234" s="452">
        <f>L234/12/P67</f>
        <v>7.7166666666666668</v>
      </c>
      <c r="L234" s="3381">
        <v>5556</v>
      </c>
      <c r="M234" s="3382"/>
      <c r="N234" s="3394" t="str">
        <f>IF(Q233&lt;Q242, "WARNING! RR proposed is below the DCA required minimum.","")</f>
        <v/>
      </c>
      <c r="O234" s="953" t="s">
        <v>4435</v>
      </c>
      <c r="P234" s="948"/>
      <c r="Q234" s="954">
        <f>Q233/P242</f>
        <v>250</v>
      </c>
      <c r="R234" s="837"/>
      <c r="S234" s="3325"/>
      <c r="T234" s="3326"/>
      <c r="U234" s="3326"/>
      <c r="V234" s="3326"/>
      <c r="W234" s="332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85">
        <f>SUM(F229:G234)</f>
        <v>13696</v>
      </c>
      <c r="G235" s="3386"/>
      <c r="H235" s="1"/>
      <c r="I235" s="1" t="s">
        <v>1342</v>
      </c>
      <c r="K235" s="452">
        <f>L235/12/P67</f>
        <v>0</v>
      </c>
      <c r="L235" s="3383"/>
      <c r="M235" s="3384"/>
      <c r="N235" s="3395"/>
      <c r="O235" s="3396" t="s">
        <v>3554</v>
      </c>
      <c r="P235" s="3397"/>
      <c r="Q235" s="3398"/>
      <c r="S235" s="3325"/>
      <c r="T235" s="3326"/>
      <c r="U235" s="3326"/>
      <c r="V235" s="3326"/>
      <c r="W235" s="332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35.365277777777777</v>
      </c>
      <c r="L236" s="3383">
        <f>8380+17083</f>
        <v>25463</v>
      </c>
      <c r="M236" s="3384"/>
      <c r="N236" s="3395"/>
      <c r="O236" s="947" t="s">
        <v>2634</v>
      </c>
      <c r="P236" s="834" t="s">
        <v>3634</v>
      </c>
      <c r="Q236" s="949" t="s">
        <v>3324</v>
      </c>
      <c r="R236" s="5"/>
      <c r="S236" s="3325"/>
      <c r="T236" s="3326"/>
      <c r="U236" s="3326"/>
      <c r="V236" s="3326"/>
      <c r="W236" s="332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83">
        <v>7200</v>
      </c>
      <c r="M237" s="3384"/>
      <c r="N237" s="3395"/>
      <c r="O237" s="598" t="s">
        <v>37</v>
      </c>
      <c r="P237" s="599"/>
      <c r="Q237" s="600"/>
      <c r="R237" s="838"/>
      <c r="S237" s="3325"/>
      <c r="T237" s="3326"/>
      <c r="U237" s="3326"/>
      <c r="V237" s="3326"/>
      <c r="W237" s="332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9">
        <v>6744</v>
      </c>
      <c r="G238" s="3400"/>
      <c r="H238" s="1"/>
      <c r="I238" s="3312" t="s">
        <v>7118</v>
      </c>
      <c r="J238" s="3313"/>
      <c r="K238" s="3314"/>
      <c r="L238" s="3379">
        <v>2770</v>
      </c>
      <c r="M238" s="3380"/>
      <c r="N238" s="3395"/>
      <c r="O238" s="482" t="s">
        <v>3316</v>
      </c>
      <c r="P238" s="839" t="str">
        <f>CONCATENATE(SUM(MP48:MT48)," units x $",'DCA Underwriting Assumptions'!$Q$68," =")</f>
        <v>0 units x $350 =</v>
      </c>
      <c r="Q238" s="601">
        <f>SUM(MP48:MT48)*'DCA Underwriting Assumptions'!$Q$68</f>
        <v>0</v>
      </c>
      <c r="R238" s="2609"/>
      <c r="S238" s="3325"/>
      <c r="T238" s="3326"/>
      <c r="U238" s="3326"/>
      <c r="V238" s="3326"/>
      <c r="W238" s="332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401"/>
      <c r="G239" s="3402"/>
      <c r="H239" s="1"/>
      <c r="I239" s="1"/>
      <c r="K239" s="11" t="s">
        <v>187</v>
      </c>
      <c r="L239" s="3387">
        <f>SUM(L234:L238)</f>
        <v>40989</v>
      </c>
      <c r="M239" s="3388"/>
      <c r="N239" s="3395"/>
      <c r="O239" s="482" t="s">
        <v>3315</v>
      </c>
      <c r="P239" s="839" t="str">
        <f>CONCATENATE(SUM(MU48:MY48)," units x $",'DCA Underwriting Assumptions'!$Q$69," =")</f>
        <v>60 units x $250 =</v>
      </c>
      <c r="Q239" s="601">
        <f>SUM(MU48:MY48)*'DCA Underwriting Assumptions'!$Q$69</f>
        <v>15000</v>
      </c>
      <c r="S239" s="3325"/>
      <c r="T239" s="3326"/>
      <c r="U239" s="3326"/>
      <c r="V239" s="3326"/>
      <c r="W239" s="332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401">
        <v>5100</v>
      </c>
      <c r="G240" s="3402"/>
      <c r="H240" s="1"/>
      <c r="K240" s="1"/>
      <c r="L240" s="1"/>
      <c r="N240" s="3395"/>
      <c r="O240" s="602" t="s">
        <v>3319</v>
      </c>
      <c r="P240" s="839" t="str">
        <f>CONCATENATE(SUM(MZ48:ND48)," units x $",'DCA Underwriting Assumptions'!$Q$70," =")</f>
        <v>0 units x $420 =</v>
      </c>
      <c r="Q240" s="601">
        <f>SUM(MZ48:ND48)*'DCA Underwriting Assumptions'!$Q$70</f>
        <v>0</v>
      </c>
      <c r="R240" s="834"/>
      <c r="S240" s="3325"/>
      <c r="T240" s="3326"/>
      <c r="U240" s="3326"/>
      <c r="V240" s="3326"/>
      <c r="W240" s="332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60">
        <v>2232</v>
      </c>
      <c r="G241" s="3361"/>
      <c r="H241" s="1"/>
      <c r="O241" s="602" t="s">
        <v>3314</v>
      </c>
      <c r="P241" s="839" t="str">
        <f>CONCATENATE(P125," units x $",'DCA Underwriting Assumptions'!$Q$70," =")</f>
        <v>0 units x $420 =</v>
      </c>
      <c r="Q241" s="601">
        <f>P125*'DCA Underwriting Assumptions'!$Q$70</f>
        <v>0</v>
      </c>
      <c r="R241" s="599"/>
      <c r="S241" s="3325"/>
      <c r="T241" s="3326"/>
      <c r="U241" s="3326"/>
      <c r="V241" s="3326"/>
      <c r="W241" s="332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60">
        <v>16920</v>
      </c>
      <c r="G242" s="3361"/>
      <c r="H242" s="1"/>
      <c r="I242" s="10" t="s">
        <v>1349</v>
      </c>
      <c r="O242" s="950" t="s">
        <v>2637</v>
      </c>
      <c r="P242" s="951">
        <f>SUM(MP48:MT48)+SUM(MU48:MY48)+SUM(MZ48:ND48)+P125</f>
        <v>60</v>
      </c>
      <c r="Q242" s="952">
        <f>SUM(Q238:Q241)</f>
        <v>15000</v>
      </c>
      <c r="R242" s="839"/>
      <c r="S242" s="3325"/>
      <c r="T242" s="3326"/>
      <c r="U242" s="3326"/>
      <c r="V242" s="3326"/>
      <c r="W242" s="332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60"/>
      <c r="G243" s="3361"/>
      <c r="H243" s="1"/>
      <c r="I243" s="94" t="s">
        <v>4518</v>
      </c>
      <c r="K243" s="1"/>
      <c r="L243" s="3381">
        <v>32154</v>
      </c>
      <c r="M243" s="3382"/>
      <c r="R243" s="839"/>
      <c r="S243" s="3325"/>
      <c r="T243" s="3326"/>
      <c r="U243" s="3326"/>
      <c r="V243" s="3326"/>
      <c r="W243" s="332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60">
        <v>9000</v>
      </c>
      <c r="G244" s="3361"/>
      <c r="H244" s="1"/>
      <c r="I244" s="1" t="s">
        <v>143</v>
      </c>
      <c r="K244" s="1"/>
      <c r="L244" s="3383">
        <v>16200</v>
      </c>
      <c r="M244" s="3384"/>
      <c r="R244" s="839"/>
      <c r="S244" s="3325"/>
      <c r="T244" s="3326"/>
      <c r="U244" s="3326"/>
      <c r="V244" s="3326"/>
      <c r="W244" s="332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6" t="s">
        <v>7119</v>
      </c>
      <c r="C245" s="3377"/>
      <c r="D245" s="3377"/>
      <c r="E245" s="3378"/>
      <c r="F245" s="3362">
        <v>500</v>
      </c>
      <c r="G245" s="3363"/>
      <c r="H245" s="1"/>
      <c r="I245" s="3312" t="s">
        <v>7120</v>
      </c>
      <c r="J245" s="3313"/>
      <c r="K245" s="3314"/>
      <c r="L245" s="3389">
        <v>265</v>
      </c>
      <c r="M245" s="3390"/>
      <c r="N245" s="1"/>
      <c r="R245" s="839"/>
      <c r="S245" s="3325"/>
      <c r="T245" s="3326"/>
      <c r="U245" s="3326"/>
      <c r="V245" s="3326"/>
      <c r="W245" s="332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92">
        <f>SUM(F238:G245)</f>
        <v>40496</v>
      </c>
      <c r="G246" s="3393"/>
      <c r="H246" s="1"/>
      <c r="K246" s="11" t="s">
        <v>187</v>
      </c>
      <c r="L246" s="3387">
        <f>SUM(L242:L245)</f>
        <v>48619</v>
      </c>
      <c r="M246" s="3391"/>
      <c r="N246" s="1"/>
      <c r="O246" s="10" t="s">
        <v>2137</v>
      </c>
      <c r="P246" s="1"/>
      <c r="Q246" s="401">
        <f>Q227+Q233</f>
        <v>259144</v>
      </c>
      <c r="R246" s="839"/>
      <c r="S246" s="3337"/>
      <c r="T246" s="3338"/>
      <c r="U246" s="3338"/>
      <c r="V246" s="3338"/>
      <c r="W246" s="333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89" t="s">
        <v>4423</v>
      </c>
      <c r="K250" s="3315"/>
      <c r="L250" s="3316"/>
      <c r="M250" s="1552" t="s">
        <v>4478</v>
      </c>
      <c r="N250" s="2610"/>
      <c r="O250" s="10" t="s">
        <v>4425</v>
      </c>
      <c r="P250" s="1"/>
      <c r="Q250" s="2611">
        <f>K250*N250</f>
        <v>0</v>
      </c>
      <c r="R250" s="837"/>
      <c r="S250" s="3404"/>
      <c r="T250" s="3405"/>
      <c r="U250" s="3405"/>
      <c r="V250" s="3405"/>
      <c r="W250" s="3406"/>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27" t="s">
        <v>1727</v>
      </c>
      <c r="K252" s="1489" t="s">
        <v>4481</v>
      </c>
      <c r="L252" s="2527" t="s">
        <v>1727</v>
      </c>
      <c r="M252" s="72" t="s">
        <v>4482</v>
      </c>
      <c r="N252" s="2610"/>
      <c r="O252" s="461" t="s">
        <v>4480</v>
      </c>
      <c r="P252" s="1"/>
      <c r="Q252" s="2612"/>
      <c r="R252" s="837"/>
      <c r="S252" s="3404"/>
      <c r="T252" s="3405"/>
      <c r="U252" s="3405"/>
      <c r="V252" s="3405"/>
      <c r="W252" s="3406"/>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4421</v>
      </c>
      <c r="O254" s="13"/>
    </row>
    <row r="255" spans="1:503" ht="408.75" customHeight="1">
      <c r="A255" s="3076" t="s">
        <v>7121</v>
      </c>
      <c r="B255" s="3076"/>
      <c r="C255" s="3076"/>
      <c r="D255" s="3076"/>
      <c r="E255" s="3076"/>
      <c r="F255" s="3076"/>
      <c r="G255" s="3076"/>
      <c r="H255" s="3076"/>
      <c r="I255" s="3076"/>
      <c r="J255" s="3076"/>
      <c r="K255" s="3076"/>
      <c r="L255" s="3076"/>
      <c r="M255" s="3076"/>
      <c r="N255" s="3075"/>
      <c r="O255" s="3075"/>
      <c r="P255" s="3075"/>
      <c r="Q255" s="3075"/>
      <c r="R255" s="3403" t="s">
        <v>3789</v>
      </c>
      <c r="S255" s="2679"/>
      <c r="T255" s="2679"/>
      <c r="U255" s="2679"/>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RX/Bgr1EhYe2/PzBZ5rNei2fw0snX4/6syFkIoOUKH7qcafQ0CVC8aDsdFKGISlqos1lxymXd7xAZgD/JTvg==" saltValue="gNm9E+kEeeycNvdadd6Qv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12" t="str">
        <f>CONCATENATE("PART SEVEN - OPERATING PRO FORMA","  -  ",'Part I-Project Information'!$O$6," ",'Part I-Project Information'!$F$34,", ",'Part I-Project Information'!F38,", ",'Part I-Project Information'!J39," County")</f>
        <v>PART SEVEN - OPERATING PRO FORMA  -  2020-091 The Pointe at St. Martin, Hartwell, Hart County</v>
      </c>
      <c r="B1" s="3413"/>
      <c r="C1" s="3413"/>
      <c r="D1" s="3413"/>
      <c r="E1" s="3413"/>
      <c r="F1" s="3413"/>
      <c r="G1" s="3413"/>
      <c r="H1" s="3413"/>
      <c r="I1" s="3413"/>
      <c r="J1" s="3413"/>
      <c r="K1" s="3414"/>
      <c r="L1" s="10"/>
      <c r="M1" s="10"/>
      <c r="N1" s="3415" t="str">
        <f>A1</f>
        <v>PART SEVEN - OPERATING PRO FORMA  -  2020-091 The Pointe at St. Martin, Hartwell, Hart County</v>
      </c>
      <c r="O1" s="3415"/>
      <c r="P1" s="10"/>
    </row>
    <row r="2" spans="1:19" ht="13.5" customHeight="1">
      <c r="A2" s="479"/>
      <c r="B2" s="479"/>
      <c r="C2" s="479"/>
      <c r="D2" s="479"/>
      <c r="E2" s="479"/>
      <c r="F2" s="479"/>
      <c r="G2" s="479"/>
      <c r="H2" s="479"/>
      <c r="I2" s="479"/>
      <c r="J2" s="479"/>
      <c r="K2" s="479"/>
      <c r="N2" s="3416" t="s">
        <v>1799</v>
      </c>
      <c r="O2" s="3416"/>
    </row>
    <row r="3" spans="1:19" ht="13.5" customHeight="1">
      <c r="A3" s="13" t="s">
        <v>88</v>
      </c>
      <c r="C3" s="3417" t="str">
        <f>'Part I-Project Information'!$B$6</f>
        <v>May 26, 2020 Version</v>
      </c>
      <c r="D3" s="1139" t="s">
        <v>78</v>
      </c>
      <c r="E3" s="216"/>
      <c r="F3" s="1140" t="s">
        <v>3830</v>
      </c>
      <c r="N3" s="13" t="str">
        <f>A3</f>
        <v>I.  OPERATING ASSUMPTIONS</v>
      </c>
      <c r="O3" s="31"/>
    </row>
    <row r="4" spans="1:19" ht="2.4" customHeight="1">
      <c r="A4" s="16"/>
      <c r="B4" s="16"/>
      <c r="C4" s="3417"/>
      <c r="H4" s="16"/>
      <c r="I4" s="16"/>
    </row>
    <row r="5" spans="1:19" ht="13.5" customHeight="1">
      <c r="A5" s="16" t="s">
        <v>2138</v>
      </c>
      <c r="B5" s="77">
        <v>0.02</v>
      </c>
      <c r="C5" s="3417"/>
      <c r="D5" s="3369" t="s">
        <v>3831</v>
      </c>
      <c r="E5" s="3369"/>
      <c r="F5" s="3369"/>
      <c r="G5" s="2613">
        <v>5000</v>
      </c>
      <c r="H5" s="96" t="s">
        <v>1860</v>
      </c>
      <c r="K5" s="101">
        <f>IF(($B$14+$B$15+$B$16+$B$17)=0,"",B30/($B$14+$B$15+$B$16+$B$17))</f>
        <v>-1.4536795005214917E-2</v>
      </c>
      <c r="N5" s="3344"/>
      <c r="O5" s="3346"/>
    </row>
    <row r="6" spans="1:19">
      <c r="A6" s="16" t="s">
        <v>2139</v>
      </c>
      <c r="B6" s="77">
        <v>0.03</v>
      </c>
      <c r="C6" s="3417"/>
      <c r="D6" s="3369"/>
      <c r="E6" s="3369"/>
      <c r="F6" s="3369"/>
      <c r="G6" s="1141">
        <f>IF(OR('Part III-Sources of Funds'!E5="Yes",'Part III-Sources of Funds'!H5&gt;0),'DCA Underwriting Assumptions'!$Q$100,0)</f>
        <v>0</v>
      </c>
      <c r="H6" s="16"/>
      <c r="I6" s="16"/>
      <c r="J6" s="16"/>
      <c r="K6" s="16"/>
      <c r="N6" s="3325"/>
      <c r="O6" s="3327"/>
    </row>
    <row r="7" spans="1:19">
      <c r="A7" s="16" t="s">
        <v>2141</v>
      </c>
      <c r="B7" s="77">
        <v>0.03</v>
      </c>
      <c r="C7" s="3417"/>
      <c r="D7" s="79" t="s">
        <v>265</v>
      </c>
      <c r="G7" s="81"/>
      <c r="H7" s="96" t="s">
        <v>2314</v>
      </c>
      <c r="K7" s="101">
        <f>IF(($B$14+$B$15+$B$16+$B$17)=0,"",-B21/($B$14+$B$15+$B$16+$B$17))</f>
        <v>9.0000205236286601E-2</v>
      </c>
      <c r="N7" s="3325"/>
      <c r="O7" s="3327"/>
    </row>
    <row r="8" spans="1:19" ht="13.35" customHeight="1">
      <c r="A8" s="16" t="s">
        <v>2140</v>
      </c>
      <c r="B8" s="2614">
        <v>7.0000000000000007E-2</v>
      </c>
      <c r="C8" s="1480" t="str">
        <f>IF(B8&lt;0.07, "Must be &gt;= 7%!","")</f>
        <v/>
      </c>
      <c r="D8" s="78" t="s">
        <v>2443</v>
      </c>
      <c r="G8" s="2615"/>
      <c r="H8" s="163" t="s">
        <v>1416</v>
      </c>
      <c r="K8" s="2616"/>
      <c r="N8" s="3325"/>
      <c r="O8" s="3327"/>
    </row>
    <row r="9" spans="1:19">
      <c r="A9" s="16" t="s">
        <v>1390</v>
      </c>
      <c r="B9" s="77">
        <v>0.02</v>
      </c>
      <c r="D9" s="78" t="s">
        <v>1676</v>
      </c>
      <c r="G9" s="2617" t="s">
        <v>2886</v>
      </c>
      <c r="H9" s="163" t="s">
        <v>2296</v>
      </c>
      <c r="K9" s="2618">
        <v>0.09</v>
      </c>
      <c r="N9" s="3337"/>
      <c r="O9" s="3339"/>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75" t="s">
        <v>2556</v>
      </c>
      <c r="O13" s="2975"/>
    </row>
    <row r="14" spans="1:19" ht="13.35" customHeight="1">
      <c r="A14" s="18" t="s">
        <v>2342</v>
      </c>
      <c r="B14" s="19">
        <f>'Part VI-Revenues &amp; Expenses'!$M$49</f>
        <v>362592</v>
      </c>
      <c r="C14" s="19">
        <f t="shared" ref="C14:K14" si="1">$B$14*(1+$B$5)^(C13-1)</f>
        <v>369843.84</v>
      </c>
      <c r="D14" s="19">
        <f t="shared" si="1"/>
        <v>377240.71679999999</v>
      </c>
      <c r="E14" s="19">
        <f t="shared" si="1"/>
        <v>384785.53113599995</v>
      </c>
      <c r="F14" s="19">
        <f t="shared" si="1"/>
        <v>392481.24175872002</v>
      </c>
      <c r="G14" s="19">
        <f t="shared" si="1"/>
        <v>400330.86659389443</v>
      </c>
      <c r="H14" s="19">
        <f t="shared" si="1"/>
        <v>408337.48392577231</v>
      </c>
      <c r="I14" s="19">
        <f t="shared" si="1"/>
        <v>416504.23360428767</v>
      </c>
      <c r="J14" s="19">
        <f t="shared" si="1"/>
        <v>424834.31827637344</v>
      </c>
      <c r="K14" s="20">
        <f t="shared" si="1"/>
        <v>433331.00464190094</v>
      </c>
      <c r="N14" s="3344"/>
      <c r="O14" s="3346"/>
      <c r="S14" s="3408" t="s">
        <v>3836</v>
      </c>
    </row>
    <row r="15" spans="1:19" ht="13.35" customHeight="1">
      <c r="A15" s="21" t="s">
        <v>994</v>
      </c>
      <c r="B15" s="22">
        <f>MIN(B14*B9,'Part VI-Revenues &amp; Expenses'!$H$178)</f>
        <v>7251.84</v>
      </c>
      <c r="C15" s="22">
        <f t="shared" ref="C15:K15" si="2">$B$15*(1+$B$5)^(C13-1)</f>
        <v>7396.8768</v>
      </c>
      <c r="D15" s="22">
        <f t="shared" si="2"/>
        <v>7544.8143360000004</v>
      </c>
      <c r="E15" s="22">
        <f t="shared" si="2"/>
        <v>7695.7106227199993</v>
      </c>
      <c r="F15" s="22">
        <f t="shared" si="2"/>
        <v>7849.6248351743998</v>
      </c>
      <c r="G15" s="22">
        <f t="shared" si="2"/>
        <v>8006.6173318778883</v>
      </c>
      <c r="H15" s="22">
        <f t="shared" si="2"/>
        <v>8166.7496785154462</v>
      </c>
      <c r="I15" s="22">
        <f t="shared" si="2"/>
        <v>8330.0846720857535</v>
      </c>
      <c r="J15" s="22">
        <f t="shared" si="2"/>
        <v>8496.6863655274701</v>
      </c>
      <c r="K15" s="23">
        <f t="shared" si="2"/>
        <v>8666.6200928380185</v>
      </c>
      <c r="N15" s="3325"/>
      <c r="O15" s="3327"/>
      <c r="S15" s="3409"/>
    </row>
    <row r="16" spans="1:19" ht="13.35" customHeight="1">
      <c r="A16" s="21" t="s">
        <v>2343</v>
      </c>
      <c r="B16" s="22">
        <f t="shared" ref="B16:K16" si="3">-(B14+B15)*$B$8</f>
        <v>-25889.068800000005</v>
      </c>
      <c r="C16" s="22">
        <f t="shared" si="3"/>
        <v>-26406.850176000007</v>
      </c>
      <c r="D16" s="22">
        <f t="shared" si="3"/>
        <v>-26934.987179520002</v>
      </c>
      <c r="E16" s="22">
        <f t="shared" si="3"/>
        <v>-27473.686923110399</v>
      </c>
      <c r="F16" s="22">
        <f t="shared" si="3"/>
        <v>-28023.160661572612</v>
      </c>
      <c r="G16" s="22">
        <f t="shared" si="3"/>
        <v>-28583.623874804063</v>
      </c>
      <c r="H16" s="22">
        <f t="shared" si="3"/>
        <v>-29155.296352300145</v>
      </c>
      <c r="I16" s="22">
        <f t="shared" si="3"/>
        <v>-29738.402279346144</v>
      </c>
      <c r="J16" s="22">
        <f t="shared" si="3"/>
        <v>-30333.170324933064</v>
      </c>
      <c r="K16" s="23">
        <f t="shared" si="3"/>
        <v>-30939.833731431729</v>
      </c>
      <c r="N16" s="3325"/>
      <c r="O16" s="3327"/>
      <c r="Q16" s="3411" t="s">
        <v>3659</v>
      </c>
      <c r="R16" s="3411" t="s">
        <v>3835</v>
      </c>
      <c r="S16" s="340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5"/>
      <c r="O17" s="3327"/>
      <c r="Q17" s="3411"/>
      <c r="R17" s="3411"/>
      <c r="S17" s="341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5"/>
      <c r="O18" s="3327"/>
    </row>
    <row r="19" spans="1:19" ht="13.35" customHeight="1">
      <c r="A19" s="417" t="s">
        <v>4377</v>
      </c>
      <c r="B19" s="22">
        <f>SUM(B14:B18)</f>
        <v>343954.77120000002</v>
      </c>
      <c r="C19" s="22">
        <f t="shared" ref="C19:K19" si="4">SUM(C14:C18)</f>
        <v>350833.86662400002</v>
      </c>
      <c r="D19" s="22">
        <f t="shared" si="4"/>
        <v>357850.54395647999</v>
      </c>
      <c r="E19" s="22">
        <f t="shared" si="4"/>
        <v>365007.55483560957</v>
      </c>
      <c r="F19" s="22">
        <f t="shared" si="4"/>
        <v>372307.70593232184</v>
      </c>
      <c r="G19" s="22">
        <f t="shared" si="4"/>
        <v>379753.86005096824</v>
      </c>
      <c r="H19" s="22">
        <f t="shared" si="4"/>
        <v>387348.93725198758</v>
      </c>
      <c r="I19" s="22">
        <f t="shared" si="4"/>
        <v>395095.9159970273</v>
      </c>
      <c r="J19" s="22">
        <f t="shared" si="4"/>
        <v>402997.83431696781</v>
      </c>
      <c r="K19" s="23">
        <f t="shared" si="4"/>
        <v>411057.79100330721</v>
      </c>
      <c r="N19" s="3325"/>
      <c r="O19" s="3327"/>
    </row>
    <row r="20" spans="1:19" ht="13.35" customHeight="1">
      <c r="A20" s="21" t="s">
        <v>597</v>
      </c>
      <c r="B20" s="22">
        <f>-('Part VI-Revenues &amp; Expenses'!$Q$227-'Part VI-Revenues &amp; Expenses'!$Q$219)</f>
        <v>-213188</v>
      </c>
      <c r="C20" s="22">
        <f t="shared" ref="C20:K20" si="5">$B$20*(1+$B$6)^(C13-1)</f>
        <v>-219583.64</v>
      </c>
      <c r="D20" s="22">
        <f t="shared" si="5"/>
        <v>-226171.14919999999</v>
      </c>
      <c r="E20" s="22">
        <f t="shared" si="5"/>
        <v>-232956.28367599999</v>
      </c>
      <c r="F20" s="22">
        <f t="shared" si="5"/>
        <v>-239944.97218627998</v>
      </c>
      <c r="G20" s="22">
        <f t="shared" si="5"/>
        <v>-247143.32135186836</v>
      </c>
      <c r="H20" s="22">
        <f t="shared" si="5"/>
        <v>-254557.62099242443</v>
      </c>
      <c r="I20" s="22">
        <f t="shared" si="5"/>
        <v>-262194.34962219716</v>
      </c>
      <c r="J20" s="22">
        <f t="shared" si="5"/>
        <v>-270060.18011086306</v>
      </c>
      <c r="K20" s="23">
        <f t="shared" si="5"/>
        <v>-278161.98551418894</v>
      </c>
      <c r="N20" s="3325"/>
      <c r="O20" s="3327"/>
      <c r="Q20" s="62">
        <v>1</v>
      </c>
      <c r="R20" s="1043">
        <f>-B31</f>
        <v>0</v>
      </c>
      <c r="S20" s="1043">
        <f>B32+R20</f>
        <v>16265.947004029076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-30956</v>
      </c>
      <c r="C21" s="22">
        <f>IF(AND('Part VII-Pro Forma'!$G$8="Yes",'Part VII-Pro Forma'!$G$9="Yes"),"Choose One!",IF('Part VII-Pro Forma'!$G$8="Yes",ROUND((-$K$8*(1+'Part VII-Pro Forma'!$B$6)^('Part VII-Pro Forma'!C13-1)),),IF('Part VII-Pro Forma'!$G$9="Yes",ROUND((-(SUM(C14:C17)*'Part VII-Pro Forma'!$K$9)),),"Choose mgt fee")))</f>
        <v>-31575</v>
      </c>
      <c r="D21" s="22">
        <f>IF(AND('Part VII-Pro Forma'!$G$8="Yes",'Part VII-Pro Forma'!$G$9="Yes"),"Choose One!",IF('Part VII-Pro Forma'!$G$8="Yes",ROUND((-$K$8*(1+'Part VII-Pro Forma'!$B$6)^('Part VII-Pro Forma'!D13-1)),),IF('Part VII-Pro Forma'!$G$9="Yes",ROUND((-(SUM(D14:D17)*'Part VII-Pro Forma'!$K$9)),),"Choose mgt fee")))</f>
        <v>-32207</v>
      </c>
      <c r="E21" s="22">
        <f>IF(AND('Part VII-Pro Forma'!$G$8="Yes",'Part VII-Pro Forma'!$G$9="Yes"),"Choose One!",IF('Part VII-Pro Forma'!$G$8="Yes",ROUND((-$K$8*(1+'Part VII-Pro Forma'!$B$6)^('Part VII-Pro Forma'!E13-1)),),IF('Part VII-Pro Forma'!$G$9="Yes",ROUND((-(SUM(E14:E17)*'Part VII-Pro Forma'!$K$9)),),"Choose mgt fee")))</f>
        <v>-32851</v>
      </c>
      <c r="F21" s="22">
        <f>IF(AND('Part VII-Pro Forma'!$G$8="Yes",'Part VII-Pro Forma'!$G$9="Yes"),"Choose One!",IF('Part VII-Pro Forma'!$G$8="Yes",ROUND((-$K$8*(1+'Part VII-Pro Forma'!$B$6)^('Part VII-Pro Forma'!F13-1)),),IF('Part VII-Pro Forma'!$G$9="Yes",ROUND((-(SUM(F14:F17)*'Part VII-Pro Forma'!$K$9)),),"Choose mgt fee")))</f>
        <v>-33508</v>
      </c>
      <c r="G21" s="22">
        <f>IF(AND('Part VII-Pro Forma'!$G$8="Yes",'Part VII-Pro Forma'!$G$9="Yes"),"Choose One!",IF('Part VII-Pro Forma'!$G$8="Yes",ROUND((-$K$8*(1+'Part VII-Pro Forma'!$B$6)^('Part VII-Pro Forma'!G13-1)),),IF('Part VII-Pro Forma'!$G$9="Yes",ROUND((-(SUM(G14:G17)*'Part VII-Pro Forma'!$K$9)),),"Choose mgt fee")))</f>
        <v>-34178</v>
      </c>
      <c r="H21" s="22">
        <f>IF(AND('Part VII-Pro Forma'!$G$8="Yes",'Part VII-Pro Forma'!$G$9="Yes"),"Choose One!",IF('Part VII-Pro Forma'!$G$8="Yes",ROUND((-$K$8*(1+'Part VII-Pro Forma'!$B$6)^('Part VII-Pro Forma'!H13-1)),),IF('Part VII-Pro Forma'!$G$9="Yes",ROUND((-(SUM(H14:H17)*'Part VII-Pro Forma'!$K$9)),),"Choose mgt fee")))</f>
        <v>-34861</v>
      </c>
      <c r="I21" s="22">
        <f>IF(AND('Part VII-Pro Forma'!$G$8="Yes",'Part VII-Pro Forma'!$G$9="Yes"),"Choose One!",IF('Part VII-Pro Forma'!$G$8="Yes",ROUND((-$K$8*(1+'Part VII-Pro Forma'!$B$6)^('Part VII-Pro Forma'!I13-1)),),IF('Part VII-Pro Forma'!$G$9="Yes",ROUND((-(SUM(I14:I17)*'Part VII-Pro Forma'!$K$9)),),"Choose mgt fee")))</f>
        <v>-35559</v>
      </c>
      <c r="J21" s="22">
        <f>IF(AND('Part VII-Pro Forma'!$G$8="Yes",'Part VII-Pro Forma'!$G$9="Yes"),"Choose One!",IF('Part VII-Pro Forma'!$G$8="Yes",ROUND((-$K$8*(1+'Part VII-Pro Forma'!$B$6)^('Part VII-Pro Forma'!J13-1)),),IF('Part VII-Pro Forma'!$G$9="Yes",ROUND((-(SUM(J14:J17)*'Part VII-Pro Forma'!$K$9)),),"Choose mgt fee")))</f>
        <v>-36270</v>
      </c>
      <c r="K21" s="23">
        <f>IF(AND('Part VII-Pro Forma'!$G$8="Yes",'Part VII-Pro Forma'!$G$9="Yes"),"Choose One!",IF('Part VII-Pro Forma'!$G$8="Yes",ROUND((-$K$8*(1+'Part VII-Pro Forma'!$B$6)^('Part VII-Pro Forma'!K13-1)),),IF('Part VII-Pro Forma'!$G$9="Yes",ROUND((-(SUM(K14:K17)*'Part VII-Pro Forma'!$K$9)),),"Choose mgt fee")))</f>
        <v>-36995</v>
      </c>
      <c r="N21" s="3325"/>
      <c r="O21" s="3327"/>
      <c r="Q21" s="62">
        <v>2</v>
      </c>
      <c r="R21" s="1043">
        <f>-SUM(B31:C31)</f>
        <v>0</v>
      </c>
      <c r="S21" s="1043">
        <f>SUM(B32:C32)+R21</f>
        <v>31946.349432058138</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25"/>
      <c r="O22" s="3327"/>
      <c r="Q22" s="62">
        <v>3</v>
      </c>
      <c r="R22" s="1043">
        <f>-SUM(B31:D31)</f>
        <v>0</v>
      </c>
      <c r="S22" s="1043">
        <f>SUM(B32:D32)+R22</f>
        <v>46960.4199925672</v>
      </c>
    </row>
    <row r="23" spans="1:19" ht="13.35" customHeight="1">
      <c r="A23" s="417" t="s">
        <v>4376</v>
      </c>
      <c r="B23" s="2619">
        <f>IF(B13&lt;=+'Part VI-Revenues &amp; Expenses'!$N$250,-'Part VI-Revenues &amp; Expenses'!$K$250,0)</f>
        <v>0</v>
      </c>
      <c r="C23" s="2619">
        <f>IF(C13&lt;=+'Part VI-Revenues &amp; Expenses'!$N$250,-'Part VI-Revenues &amp; Expenses'!$K$250,0)</f>
        <v>0</v>
      </c>
      <c r="D23" s="2619">
        <f>IF(D13&lt;=+'Part VI-Revenues &amp; Expenses'!$N$250,-'Part VI-Revenues &amp; Expenses'!$K$250,0)</f>
        <v>0</v>
      </c>
      <c r="E23" s="2619">
        <f>IF(E13&lt;=+'Part VI-Revenues &amp; Expenses'!$N$250,-'Part VI-Revenues &amp; Expenses'!$K$250,0)</f>
        <v>0</v>
      </c>
      <c r="F23" s="2619">
        <f>IF(F13&lt;=+'Part VI-Revenues &amp; Expenses'!$N$250,-'Part VI-Revenues &amp; Expenses'!$K$250,0)</f>
        <v>0</v>
      </c>
      <c r="G23" s="2619">
        <f>IF(G13&lt;=+'Part VI-Revenues &amp; Expenses'!$N$250,-'Part VI-Revenues &amp; Expenses'!$K$250,0)</f>
        <v>0</v>
      </c>
      <c r="H23" s="2619">
        <f>IF(H13&lt;=+'Part VI-Revenues &amp; Expenses'!$N$250,-'Part VI-Revenues &amp; Expenses'!$K$250,0)</f>
        <v>0</v>
      </c>
      <c r="I23" s="2619">
        <f>IF(I13&lt;=+'Part VI-Revenues &amp; Expenses'!$N$250,-'Part VI-Revenues &amp; Expenses'!$K$250,0)</f>
        <v>0</v>
      </c>
      <c r="J23" s="2619">
        <f>IF(J13&lt;=+'Part VI-Revenues &amp; Expenses'!$N$250,-'Part VI-Revenues &amp; Expenses'!$K$250,0)</f>
        <v>0</v>
      </c>
      <c r="K23" s="2619">
        <f>IF(K13&lt;=+'Part VI-Revenues &amp; Expenses'!$N$250,-'Part VI-Revenues &amp; Expenses'!$K$250,0)</f>
        <v>0</v>
      </c>
      <c r="N23" s="3325"/>
      <c r="O23" s="3327"/>
      <c r="Q23" s="929">
        <v>4</v>
      </c>
      <c r="R23" s="1043">
        <f>-SUM(B31:E31)</f>
        <v>0</v>
      </c>
      <c r="S23" s="1043">
        <f>SUM(B32:E32)+R23</f>
        <v>61224.961956205836</v>
      </c>
    </row>
    <row r="24" spans="1:19" ht="13.35" customHeight="1">
      <c r="A24" s="21" t="s">
        <v>1177</v>
      </c>
      <c r="B24" s="22">
        <f>SUM(B19:B23)</f>
        <v>84810.771200000017</v>
      </c>
      <c r="C24" s="22">
        <f t="shared" ref="C24:J24" si="7">SUM(C19:C23)</f>
        <v>84225.226624000003</v>
      </c>
      <c r="D24" s="22">
        <f t="shared" si="7"/>
        <v>83558.894756480004</v>
      </c>
      <c r="E24" s="22">
        <f t="shared" si="7"/>
        <v>82809.366159609577</v>
      </c>
      <c r="F24" s="22">
        <f t="shared" si="7"/>
        <v>81972.101596041874</v>
      </c>
      <c r="G24" s="22">
        <f t="shared" si="7"/>
        <v>81043.427584599878</v>
      </c>
      <c r="H24" s="22">
        <f t="shared" si="7"/>
        <v>80019.531811628141</v>
      </c>
      <c r="I24" s="22">
        <f t="shared" si="7"/>
        <v>78894.458393457098</v>
      </c>
      <c r="J24" s="22">
        <f t="shared" si="7"/>
        <v>77666.102985290519</v>
      </c>
      <c r="K24" s="1482">
        <f>SUM(K19:K23)</f>
        <v>76329.207731679606</v>
      </c>
      <c r="N24" s="3325"/>
      <c r="O24" s="3327"/>
      <c r="Q24" s="929">
        <v>5</v>
      </c>
      <c r="R24" s="1043">
        <f>-SUM(B31:F31)</f>
        <v>0</v>
      </c>
      <c r="S24" s="1043">
        <f>SUM(B32:F32)+R24</f>
        <v>74652.239356276768</v>
      </c>
    </row>
    <row r="25" spans="1:19" ht="13.35" customHeight="1">
      <c r="A25" s="417" t="s">
        <v>1558</v>
      </c>
      <c r="B25" s="2620">
        <f>IF('Part III-Sources of Funds'!$P$38="", 0,-'Part III-Sources of Funds'!$P$38)</f>
        <v>-63544.824195970941</v>
      </c>
      <c r="C25" s="2620">
        <f>IF('Part III-Sources of Funds'!$P$38="", 0,-'Part III-Sources of Funds'!$P$38)</f>
        <v>-63544.824195970941</v>
      </c>
      <c r="D25" s="2620">
        <f>IF('Part III-Sources of Funds'!$P$38="", 0,-'Part III-Sources of Funds'!$P$38)</f>
        <v>-63544.824195970941</v>
      </c>
      <c r="E25" s="2620">
        <f>IF('Part III-Sources of Funds'!$P$38="", 0,-'Part III-Sources of Funds'!$P$38)</f>
        <v>-63544.824195970941</v>
      </c>
      <c r="F25" s="2620">
        <f>IF('Part III-Sources of Funds'!$P$38="", 0,-'Part III-Sources of Funds'!$P$38)</f>
        <v>-63544.824195970941</v>
      </c>
      <c r="G25" s="2620">
        <f>IF('Part III-Sources of Funds'!$P$38="", 0,-'Part III-Sources of Funds'!$P$38)</f>
        <v>-63544.824195970941</v>
      </c>
      <c r="H25" s="2620">
        <f>IF('Part III-Sources of Funds'!$P$38="", 0,-'Part III-Sources of Funds'!$P$38)</f>
        <v>-63544.824195970941</v>
      </c>
      <c r="I25" s="2620">
        <f>IF('Part III-Sources of Funds'!$P$38="", 0,-'Part III-Sources of Funds'!$P$38)</f>
        <v>-63544.824195970941</v>
      </c>
      <c r="J25" s="2620">
        <f>IF('Part III-Sources of Funds'!$P$38="", 0,-'Part III-Sources of Funds'!$P$38)</f>
        <v>-63544.824195970941</v>
      </c>
      <c r="K25" s="2620">
        <f>IF('Part III-Sources of Funds'!$P$38="", 0,-'Part III-Sources of Funds'!$P$38)</f>
        <v>-63544.824195970941</v>
      </c>
      <c r="N25" s="3325"/>
      <c r="O25" s="3327"/>
      <c r="Q25" s="929">
        <v>6</v>
      </c>
      <c r="R25" s="1043">
        <f>-SUM(B31:G31)</f>
        <v>0</v>
      </c>
      <c r="S25" s="1043">
        <f>SUM(B32:G32)+R25</f>
        <v>87150.842744905705</v>
      </c>
    </row>
    <row r="26" spans="1:19" ht="13.35" customHeight="1">
      <c r="A26" s="417" t="s">
        <v>1559</v>
      </c>
      <c r="B26" s="2621">
        <f>IF('Part III-Sources of Funds'!$P$39="", 0,-'Part III-Sources of Funds'!$P$39)</f>
        <v>0</v>
      </c>
      <c r="C26" s="2621">
        <f>IF('Part III-Sources of Funds'!$P$39="", 0,-'Part III-Sources of Funds'!$P$39)</f>
        <v>0</v>
      </c>
      <c r="D26" s="2621">
        <f>IF('Part III-Sources of Funds'!$P$39="", 0,-'Part III-Sources of Funds'!$P$39)</f>
        <v>0</v>
      </c>
      <c r="E26" s="2621">
        <f>IF('Part III-Sources of Funds'!$P$39="", 0,-'Part III-Sources of Funds'!$P$39)</f>
        <v>0</v>
      </c>
      <c r="F26" s="2621">
        <f>IF('Part III-Sources of Funds'!$P$39="", 0,-'Part III-Sources of Funds'!$P$39)</f>
        <v>0</v>
      </c>
      <c r="G26" s="2621">
        <f>IF('Part III-Sources of Funds'!$P$39="", 0,-'Part III-Sources of Funds'!$P$39)</f>
        <v>0</v>
      </c>
      <c r="H26" s="2621">
        <f>IF('Part III-Sources of Funds'!$P$39="", 0,-'Part III-Sources of Funds'!$P$39)</f>
        <v>0</v>
      </c>
      <c r="I26" s="2621">
        <f>IF('Part III-Sources of Funds'!$P$39="", 0,-'Part III-Sources of Funds'!$P$39)</f>
        <v>0</v>
      </c>
      <c r="J26" s="2621">
        <f>IF('Part III-Sources of Funds'!$P$39="", 0,-'Part III-Sources of Funds'!$P$39)</f>
        <v>0</v>
      </c>
      <c r="K26" s="2621">
        <f>IF('Part III-Sources of Funds'!$P$39="", 0,-'Part III-Sources of Funds'!$P$39)</f>
        <v>0</v>
      </c>
      <c r="N26" s="3325"/>
      <c r="O26" s="3327"/>
      <c r="Q26" s="929">
        <v>7</v>
      </c>
      <c r="R26" s="1043">
        <f>-SUM(B31:H31)</f>
        <v>0</v>
      </c>
      <c r="S26" s="1043">
        <f>SUM(B32:H32)+R26</f>
        <v>98625.550360562906</v>
      </c>
    </row>
    <row r="27" spans="1:19" ht="13.35" customHeight="1">
      <c r="A27" s="417" t="s">
        <v>1560</v>
      </c>
      <c r="B27" s="2621">
        <f>IF('Part III-Sources of Funds'!$P$40="", 0,-'Part III-Sources of Funds'!$P$40)</f>
        <v>0</v>
      </c>
      <c r="C27" s="2621">
        <f>IF('Part III-Sources of Funds'!$P$40="", 0,-'Part III-Sources of Funds'!$P$40)</f>
        <v>0</v>
      </c>
      <c r="D27" s="2621">
        <f>IF('Part III-Sources of Funds'!$P$40="", 0,-'Part III-Sources of Funds'!$P$40)</f>
        <v>0</v>
      </c>
      <c r="E27" s="2621">
        <f>IF('Part III-Sources of Funds'!$P$40="", 0,-'Part III-Sources of Funds'!$P$40)</f>
        <v>0</v>
      </c>
      <c r="F27" s="2621">
        <f>IF('Part III-Sources of Funds'!$P$40="", 0,-'Part III-Sources of Funds'!$P$40)</f>
        <v>0</v>
      </c>
      <c r="G27" s="2621">
        <f>IF('Part III-Sources of Funds'!$P$40="", 0,-'Part III-Sources of Funds'!$P$40)</f>
        <v>0</v>
      </c>
      <c r="H27" s="2621">
        <f>IF('Part III-Sources of Funds'!$P$40="", 0,-'Part III-Sources of Funds'!$P$40)</f>
        <v>0</v>
      </c>
      <c r="I27" s="2621">
        <f>IF('Part III-Sources of Funds'!$P$40="", 0,-'Part III-Sources of Funds'!$P$40)</f>
        <v>0</v>
      </c>
      <c r="J27" s="2621">
        <f>IF('Part III-Sources of Funds'!$P$40="", 0,-'Part III-Sources of Funds'!$P$40)</f>
        <v>0</v>
      </c>
      <c r="K27" s="2621">
        <f>IF('Part III-Sources of Funds'!$P$40="", 0,-'Part III-Sources of Funds'!$P$40)</f>
        <v>0</v>
      </c>
      <c r="N27" s="3325"/>
      <c r="O27" s="3327"/>
      <c r="Q27" s="929">
        <v>8</v>
      </c>
      <c r="R27" s="1043">
        <f>-SUM(B31:I31)</f>
        <v>0</v>
      </c>
      <c r="S27" s="1043">
        <f>SUM(B32:I32)+R27</f>
        <v>108975.18455804906</v>
      </c>
    </row>
    <row r="28" spans="1:19" ht="13.35" customHeight="1">
      <c r="A28" s="417" t="s">
        <v>3635</v>
      </c>
      <c r="B28" s="2621">
        <f>IF('Part III-Sources of Funds'!$P$41="", 0,-'Part III-Sources of Funds'!$P$41)</f>
        <v>0</v>
      </c>
      <c r="C28" s="2621">
        <f>IF('Part III-Sources of Funds'!$P$41="", 0,-'Part III-Sources of Funds'!$P$41)</f>
        <v>0</v>
      </c>
      <c r="D28" s="2621">
        <f>IF('Part III-Sources of Funds'!$P$41="", 0,-'Part III-Sources of Funds'!$P$41)</f>
        <v>0</v>
      </c>
      <c r="E28" s="2621">
        <f>IF('Part III-Sources of Funds'!$P$41="", 0,-'Part III-Sources of Funds'!$P$41)</f>
        <v>0</v>
      </c>
      <c r="F28" s="2621">
        <f>IF('Part III-Sources of Funds'!$P$41="", 0,-'Part III-Sources of Funds'!$P$41)</f>
        <v>0</v>
      </c>
      <c r="G28" s="2621">
        <f>IF('Part III-Sources of Funds'!$P$41="", 0,-'Part III-Sources of Funds'!$P$41)</f>
        <v>0</v>
      </c>
      <c r="H28" s="2621">
        <f>IF('Part III-Sources of Funds'!$P$41="", 0,-'Part III-Sources of Funds'!$P$41)</f>
        <v>0</v>
      </c>
      <c r="I28" s="2621">
        <f>IF('Part III-Sources of Funds'!$P$41="", 0,-'Part III-Sources of Funds'!$P$41)</f>
        <v>0</v>
      </c>
      <c r="J28" s="2621">
        <f>IF('Part III-Sources of Funds'!$P$41="", 0,-'Part III-Sources of Funds'!$P$41)</f>
        <v>0</v>
      </c>
      <c r="K28" s="2621">
        <f>IF('Part III-Sources of Funds'!$P$41="", 0,-'Part III-Sources of Funds'!$P$41)</f>
        <v>0</v>
      </c>
      <c r="N28" s="3325"/>
      <c r="O28" s="3327"/>
      <c r="Q28" s="929">
        <v>9</v>
      </c>
      <c r="R28" s="1043">
        <f>-SUM(B31:J31)</f>
        <v>0</v>
      </c>
      <c r="S28" s="1043">
        <f>SUM(B32:J32)+R28</f>
        <v>118096.46334736864</v>
      </c>
    </row>
    <row r="29" spans="1:19" ht="13.35" customHeight="1">
      <c r="A29" s="21" t="s">
        <v>745</v>
      </c>
      <c r="B29" s="2622"/>
      <c r="C29" s="2622"/>
      <c r="D29" s="2622"/>
      <c r="E29" s="2622"/>
      <c r="F29" s="2622"/>
      <c r="G29" s="2622"/>
      <c r="H29" s="2622"/>
      <c r="I29" s="2622"/>
      <c r="J29" s="2622"/>
      <c r="K29" s="2622"/>
      <c r="N29" s="3325"/>
      <c r="O29" s="3327"/>
      <c r="Q29" s="929">
        <v>10</v>
      </c>
      <c r="R29" s="1043">
        <f>-SUM(B31:K31)</f>
        <v>0</v>
      </c>
      <c r="S29" s="1043">
        <f>SUM(B32:K32)+R29</f>
        <v>125880.84688307731</v>
      </c>
    </row>
    <row r="30" spans="1:19" ht="13.35" customHeight="1">
      <c r="A30" s="417" t="s">
        <v>1141</v>
      </c>
      <c r="B30" s="2623">
        <f>-$G$5</f>
        <v>-5000</v>
      </c>
      <c r="C30" s="2623">
        <f t="shared" ref="C30:K30" si="8">+B30</f>
        <v>-5000</v>
      </c>
      <c r="D30" s="2623">
        <f t="shared" si="8"/>
        <v>-5000</v>
      </c>
      <c r="E30" s="2623">
        <f t="shared" si="8"/>
        <v>-5000</v>
      </c>
      <c r="F30" s="2623">
        <f t="shared" si="8"/>
        <v>-5000</v>
      </c>
      <c r="G30" s="2623">
        <f t="shared" si="8"/>
        <v>-5000</v>
      </c>
      <c r="H30" s="2623">
        <f t="shared" si="8"/>
        <v>-5000</v>
      </c>
      <c r="I30" s="2623">
        <f t="shared" si="8"/>
        <v>-5000</v>
      </c>
      <c r="J30" s="2623">
        <f t="shared" si="8"/>
        <v>-5000</v>
      </c>
      <c r="K30" s="2623">
        <f t="shared" si="8"/>
        <v>-5000</v>
      </c>
      <c r="N30" s="3325"/>
      <c r="O30" s="3327"/>
      <c r="Q30" s="929">
        <v>11</v>
      </c>
      <c r="R30" s="1043">
        <f>-SUM(B31:K31)-B63</f>
        <v>0</v>
      </c>
      <c r="S30" s="1043">
        <f>SUM(B32:K32)+B64+R30</f>
        <v>195759.20293667424</v>
      </c>
    </row>
    <row r="31" spans="1:19" ht="13.35" customHeight="1">
      <c r="A31" s="417" t="s">
        <v>3770</v>
      </c>
      <c r="B31" s="2624">
        <f>IF('Part III-Sources of Funds'!$P$43="", 0,-'Part III-Sources of Funds'!$P$43)</f>
        <v>0</v>
      </c>
      <c r="C31" s="2624">
        <f>IF('Part III-Sources of Funds'!$P$43="", 0,-'Part III-Sources of Funds'!$P$43)</f>
        <v>0</v>
      </c>
      <c r="D31" s="2624">
        <f>IF('Part III-Sources of Funds'!$P$43="", 0,-'Part III-Sources of Funds'!$P$43)</f>
        <v>0</v>
      </c>
      <c r="E31" s="2624">
        <f>IF('Part III-Sources of Funds'!$P$43="", 0,-'Part III-Sources of Funds'!$P$43)</f>
        <v>0</v>
      </c>
      <c r="F31" s="2624">
        <f>IF('Part III-Sources of Funds'!$P$43="", 0,-'Part III-Sources of Funds'!$P$43)</f>
        <v>0</v>
      </c>
      <c r="G31" s="2624">
        <f>IF('Part III-Sources of Funds'!$P$43="", 0,-'Part III-Sources of Funds'!$P$43)</f>
        <v>0</v>
      </c>
      <c r="H31" s="2624">
        <f>IF('Part III-Sources of Funds'!$P$43="", 0,-'Part III-Sources of Funds'!$P$43)</f>
        <v>0</v>
      </c>
      <c r="I31" s="2624">
        <f>IF('Part III-Sources of Funds'!$P$43="", 0,-'Part III-Sources of Funds'!$P$43)</f>
        <v>0</v>
      </c>
      <c r="J31" s="2624">
        <f>IF('Part III-Sources of Funds'!$P$43="", 0,-'Part III-Sources of Funds'!$P$43)</f>
        <v>0</v>
      </c>
      <c r="K31" s="2624">
        <f>IF('Part III-Sources of Funds'!$P$43="", 0,-'Part III-Sources of Funds'!$P$43)</f>
        <v>0</v>
      </c>
      <c r="N31" s="3325"/>
      <c r="O31" s="3327"/>
      <c r="Q31" s="929">
        <v>12</v>
      </c>
      <c r="R31" s="1043">
        <f>-SUM(B31:K31) - SUM(B63:C63)</f>
        <v>0</v>
      </c>
      <c r="S31" s="1043">
        <f>SUM(B32:K32) + SUM(B64:C64)+R31</f>
        <v>264068.17020364525</v>
      </c>
    </row>
    <row r="32" spans="1:19" ht="13.35" customHeight="1">
      <c r="A32" s="21" t="s">
        <v>1142</v>
      </c>
      <c r="B32" s="22">
        <f t="shared" ref="B32:K32" si="9">SUM(B24:B31)</f>
        <v>16265.947004029076</v>
      </c>
      <c r="C32" s="22">
        <f t="shared" si="9"/>
        <v>15680.402428029061</v>
      </c>
      <c r="D32" s="22">
        <f t="shared" si="9"/>
        <v>15014.070560509062</v>
      </c>
      <c r="E32" s="22">
        <f t="shared" si="9"/>
        <v>14264.541963638636</v>
      </c>
      <c r="F32" s="22">
        <f t="shared" si="9"/>
        <v>13427.277400070932</v>
      </c>
      <c r="G32" s="22">
        <f t="shared" si="9"/>
        <v>12498.603388628937</v>
      </c>
      <c r="H32" s="22">
        <f t="shared" si="9"/>
        <v>11474.7076156572</v>
      </c>
      <c r="I32" s="22">
        <f t="shared" si="9"/>
        <v>10349.634197486157</v>
      </c>
      <c r="J32" s="22">
        <f t="shared" si="9"/>
        <v>9121.2787893195782</v>
      </c>
      <c r="K32" s="23">
        <f t="shared" si="9"/>
        <v>7784.3835357086646</v>
      </c>
      <c r="N32" s="3325"/>
      <c r="O32" s="3327"/>
      <c r="Q32" s="929">
        <v>13</v>
      </c>
      <c r="R32" s="1043">
        <f>-SUM(B31:K31) - SUM(B63:D63)</f>
        <v>0</v>
      </c>
      <c r="S32" s="1043">
        <f>SUM(B32:K32) + SUM(B64:D64)+R32</f>
        <v>330684.46123102715</v>
      </c>
    </row>
    <row r="33" spans="1:19" ht="13.35" customHeight="1">
      <c r="A33" s="21" t="str">
        <f>IF('Part III-Sources of Funds'!$E$38 = "Neither", "", "DCR Mortgage A")</f>
        <v>DCR Mortgage A</v>
      </c>
      <c r="B33" s="24">
        <f t="shared" ref="B33:K33" si="10">IF(B25=0,"",-B24/B25)</f>
        <v>1.334660568710448</v>
      </c>
      <c r="C33" s="24">
        <f t="shared" si="10"/>
        <v>1.3254458988548166</v>
      </c>
      <c r="D33" s="24">
        <f t="shared" si="10"/>
        <v>1.314959885620048</v>
      </c>
      <c r="E33" s="24">
        <f t="shared" si="10"/>
        <v>1.3031646118687366</v>
      </c>
      <c r="F33" s="24">
        <f t="shared" si="10"/>
        <v>1.2899886439726638</v>
      </c>
      <c r="G33" s="24">
        <f t="shared" si="10"/>
        <v>1.2753741726417183</v>
      </c>
      <c r="H33" s="24">
        <f t="shared" si="10"/>
        <v>1.2592612037897775</v>
      </c>
      <c r="I33" s="24">
        <f t="shared" si="10"/>
        <v>1.2415560101346446</v>
      </c>
      <c r="J33" s="24">
        <f t="shared" si="10"/>
        <v>1.2222254757644753</v>
      </c>
      <c r="K33" s="25">
        <f t="shared" si="10"/>
        <v>1.2011868582133753</v>
      </c>
      <c r="N33" s="3325"/>
      <c r="O33" s="3327"/>
      <c r="Q33" s="929">
        <v>14</v>
      </c>
      <c r="R33" s="1043">
        <f>-SUM(B31:K31) - SUM(B63:E63)</f>
        <v>0</v>
      </c>
      <c r="S33" s="1043">
        <f>SUM(B32:K32) + SUM(B64:E64)+R33</f>
        <v>395479.86282648006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25"/>
      <c r="O34" s="3327"/>
      <c r="Q34" s="929">
        <v>15</v>
      </c>
      <c r="R34" s="1043">
        <f>-SUM(B31:K31) - SUM(B63:F63)</f>
        <v>0</v>
      </c>
      <c r="S34" s="1043">
        <f>SUM(B32:K32) + SUM(B64:F64)+R34</f>
        <v>458320.05474379112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25"/>
      <c r="O35" s="3327"/>
      <c r="Q35" s="62">
        <v>16</v>
      </c>
      <c r="R35" s="1043">
        <f>-SUM(B31:K31) - SUM(B63:G63)</f>
        <v>0</v>
      </c>
      <c r="S35" s="1043">
        <f>SUM(B32:K32) + SUM(B64:G64)+R35</f>
        <v>519065.42225809593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25"/>
      <c r="O36" s="3327"/>
      <c r="Q36" s="62">
        <v>17</v>
      </c>
      <c r="R36" s="1043">
        <f>-SUM(B31:K31) - SUM(B63:H63)</f>
        <v>0</v>
      </c>
      <c r="S36" s="1043">
        <f>SUM(B32:K32) + SUM(B64:H64)+R36</f>
        <v>577570.86243409407</v>
      </c>
    </row>
    <row r="37" spans="1:19" ht="13.35" customHeight="1">
      <c r="A37" s="417" t="s">
        <v>3533</v>
      </c>
      <c r="B37" s="24">
        <f t="shared" ref="B37:K37" si="14">IF(AND(B25=0,B26=0,B27=0,B28=0),"",-B24/(B25+B26+B27+B28))</f>
        <v>1.334660568710448</v>
      </c>
      <c r="C37" s="24">
        <f t="shared" si="14"/>
        <v>1.3254458988548166</v>
      </c>
      <c r="D37" s="24">
        <f t="shared" si="14"/>
        <v>1.314959885620048</v>
      </c>
      <c r="E37" s="24">
        <f t="shared" si="14"/>
        <v>1.3031646118687366</v>
      </c>
      <c r="F37" s="24">
        <f t="shared" si="14"/>
        <v>1.2899886439726638</v>
      </c>
      <c r="G37" s="24">
        <f t="shared" si="14"/>
        <v>1.2753741726417183</v>
      </c>
      <c r="H37" s="24">
        <f t="shared" si="14"/>
        <v>1.2592612037897775</v>
      </c>
      <c r="I37" s="24">
        <f t="shared" si="14"/>
        <v>1.2415560101346446</v>
      </c>
      <c r="J37" s="24">
        <f t="shared" si="14"/>
        <v>1.2222254757644753</v>
      </c>
      <c r="K37" s="25">
        <f t="shared" si="14"/>
        <v>1.2011868582133753</v>
      </c>
      <c r="N37" s="3325"/>
      <c r="O37" s="3327"/>
      <c r="Q37" s="62">
        <v>18</v>
      </c>
      <c r="R37" s="1043">
        <f>-SUM(B31:K31) - SUM(B63:I63)</f>
        <v>0</v>
      </c>
      <c r="S37" s="1043">
        <f>SUM(B32:K32) + SUM(B64:I64)+R37</f>
        <v>633684.58388436143</v>
      </c>
    </row>
    <row r="38" spans="1:19" ht="13.35" customHeight="1">
      <c r="A38" s="21" t="s">
        <v>752</v>
      </c>
      <c r="B38" s="265">
        <f t="shared" ref="B38:K38" si="15">IF(OR(B21="Choose mgt fee",B21="Choose One!"),"",(B14+B15+B16+B17+B18) / -(B20+B21+B22))</f>
        <v>1.3272727564597291</v>
      </c>
      <c r="C38" s="265">
        <f t="shared" si="15"/>
        <v>1.315913342583346</v>
      </c>
      <c r="D38" s="265">
        <f t="shared" si="15"/>
        <v>1.3046352121917972</v>
      </c>
      <c r="E38" s="265">
        <f t="shared" si="15"/>
        <v>1.2934440031246459</v>
      </c>
      <c r="F38" s="265">
        <f t="shared" si="15"/>
        <v>1.2823356845380149</v>
      </c>
      <c r="G38" s="265">
        <f t="shared" si="15"/>
        <v>1.2713110048264704</v>
      </c>
      <c r="H38" s="265">
        <f t="shared" si="15"/>
        <v>1.2603705678503867</v>
      </c>
      <c r="I38" s="265">
        <f t="shared" si="15"/>
        <v>1.2495069408957915</v>
      </c>
      <c r="J38" s="265">
        <f t="shared" si="15"/>
        <v>1.2387289511151605</v>
      </c>
      <c r="K38" s="266">
        <f t="shared" si="15"/>
        <v>1.2280331335485011</v>
      </c>
      <c r="N38" s="3325"/>
      <c r="O38" s="3327"/>
      <c r="Q38" s="929">
        <v>19</v>
      </c>
      <c r="R38" s="1043">
        <f>-SUM(B31:K31) - SUM(B63:J63)</f>
        <v>0</v>
      </c>
      <c r="S38" s="1043">
        <f>SUM(B32:K32) + SUM(B64:J64)+R38</f>
        <v>687248.89980850578</v>
      </c>
    </row>
    <row r="39" spans="1:19" ht="13.35" customHeight="1">
      <c r="A39" s="417" t="s">
        <v>2550</v>
      </c>
      <c r="B39" s="2625">
        <f>IF('Part III-Sources of Funds'!$I$38="","",-FV('Part III-Sources of Funds'!$K$38/12,12,B25/12,'Part III-Sources of Funds'!$I$38))</f>
        <v>543055.65456613922</v>
      </c>
      <c r="C39" s="2625">
        <f>IF('Part III-Sources of Funds'!$I$38="","",-FV('Part III-Sources of Funds'!$K$38/12,12,C25/12,B39))</f>
        <v>485452.98645207676</v>
      </c>
      <c r="D39" s="2625">
        <f>IF('Part III-Sources of Funds'!$I$38="","",-FV('Part III-Sources of Funds'!$K$38/12,12,D25/12,C39))</f>
        <v>427184.38491528912</v>
      </c>
      <c r="E39" s="2625">
        <f>IF('Part III-Sources of Funds'!$I$38="","",-FV('Part III-Sources of Funds'!$K$38/12,12,E25/12,D39))</f>
        <v>368242.1512269149</v>
      </c>
      <c r="F39" s="2625">
        <f>IF('Part III-Sources of Funds'!$I$38="","",-FV('Part III-Sources of Funds'!$K$38/12,12,F25/12,E39))</f>
        <v>308618.49765456159</v>
      </c>
      <c r="G39" s="2625">
        <f>IF('Part III-Sources of Funds'!$I$38="","",-FV('Part III-Sources of Funds'!$K$38/12,12,G25/12,F39))</f>
        <v>248305.54643335289</v>
      </c>
      <c r="H39" s="2625">
        <f>IF('Part III-Sources of Funds'!$I$38="","",-FV('Part III-Sources of Funds'!$K$38/12,12,H25/12,G39))</f>
        <v>187295.32872508033</v>
      </c>
      <c r="I39" s="2625">
        <f>IF('Part III-Sources of Funds'!$I$38="","",-FV('Part III-Sources of Funds'!$K$38/12,12,I25/12,H39))</f>
        <v>125579.78356532185</v>
      </c>
      <c r="J39" s="2625">
        <f>IF('Part III-Sources of Funds'!$I$38="","",-FV('Part III-Sources of Funds'!$K$38/12,12,J25/12,I39))</f>
        <v>63150.756798388371</v>
      </c>
      <c r="K39" s="2625">
        <f>IF('Part III-Sources of Funds'!$I$38="","",-FV('Part III-Sources of Funds'!$K$38/12,12,K25/12,J39))</f>
        <v>-4.270987119525671E-8</v>
      </c>
      <c r="N39" s="3325"/>
      <c r="O39" s="3327"/>
      <c r="Q39" s="929">
        <v>20</v>
      </c>
      <c r="R39" s="1043">
        <f>-SUM(B31:K31) - SUM(B63:K63)</f>
        <v>0</v>
      </c>
      <c r="S39" s="1043">
        <f>SUM(B32:K32) + SUM(B64:K64)+R39</f>
        <v>738100.014097351</v>
      </c>
    </row>
    <row r="40" spans="1:19" ht="13.35" customHeight="1">
      <c r="A40" s="417" t="s">
        <v>2551</v>
      </c>
      <c r="B40" s="2621" t="str">
        <f>IF('Part III-Sources of Funds'!$I$39="","",-FV('Part III-Sources of Funds'!$K$39/12,12,B26/12,'Part III-Sources of Funds'!$I$39))</f>
        <v/>
      </c>
      <c r="C40" s="2621" t="str">
        <f>IF('Part III-Sources of Funds'!$I$39="","",-FV('Part III-Sources of Funds'!$K$39/12,12,C26/12,B40))</f>
        <v/>
      </c>
      <c r="D40" s="2621" t="str">
        <f>IF('Part III-Sources of Funds'!$I$39="","",-FV('Part III-Sources of Funds'!$K$39/12,12,D26/12,C40))</f>
        <v/>
      </c>
      <c r="E40" s="2621" t="str">
        <f>IF('Part III-Sources of Funds'!$I$39="","",-FV('Part III-Sources of Funds'!$K$39/12,12,E26/12,D40))</f>
        <v/>
      </c>
      <c r="F40" s="2621" t="str">
        <f>IF('Part III-Sources of Funds'!$I$39="","",-FV('Part III-Sources of Funds'!$K$39/12,12,F26/12,E40))</f>
        <v/>
      </c>
      <c r="G40" s="2621" t="str">
        <f>IF('Part III-Sources of Funds'!$I$39="","",-FV('Part III-Sources of Funds'!$K$39/12,12,G26/12,F40))</f>
        <v/>
      </c>
      <c r="H40" s="2621" t="str">
        <f>IF('Part III-Sources of Funds'!$I$39="","",-FV('Part III-Sources of Funds'!$K$39/12,12,H26/12,G40))</f>
        <v/>
      </c>
      <c r="I40" s="2621" t="str">
        <f>IF('Part III-Sources of Funds'!$I$39="","",-FV('Part III-Sources of Funds'!$K$39/12,12,I26/12,H40))</f>
        <v/>
      </c>
      <c r="J40" s="2621" t="str">
        <f>IF('Part III-Sources of Funds'!$I$39="","",-FV('Part III-Sources of Funds'!$K$39/12,12,J26/12,I40))</f>
        <v/>
      </c>
      <c r="K40" s="2621" t="str">
        <f>IF('Part III-Sources of Funds'!$I$39="","",-FV('Part III-Sources of Funds'!$K$39/12,12,K26/12,J40))</f>
        <v/>
      </c>
      <c r="N40" s="3325"/>
      <c r="O40" s="3327"/>
    </row>
    <row r="41" spans="1:19" ht="13.35" customHeight="1">
      <c r="A41" s="417" t="s">
        <v>2552</v>
      </c>
      <c r="B41" s="2621" t="str">
        <f>IF('Part III-Sources of Funds'!$I$40="","",-FV('Part III-Sources of Funds'!$K$40/12,12,B27/12,'Part III-Sources of Funds'!$I$40))</f>
        <v/>
      </c>
      <c r="C41" s="2621" t="str">
        <f>IF('Part III-Sources of Funds'!$I$40="","",-FV('Part III-Sources of Funds'!$K$40/12,12,C27/12,B41))</f>
        <v/>
      </c>
      <c r="D41" s="2621" t="str">
        <f>IF('Part III-Sources of Funds'!$I$40="","",-FV('Part III-Sources of Funds'!$K$40/12,12,D27/12,C41))</f>
        <v/>
      </c>
      <c r="E41" s="2621" t="str">
        <f>IF('Part III-Sources of Funds'!$I$40="","",-FV('Part III-Sources of Funds'!$K$40/12,12,E27/12,D41))</f>
        <v/>
      </c>
      <c r="F41" s="2621" t="str">
        <f>IF('Part III-Sources of Funds'!$I$40="","",-FV('Part III-Sources of Funds'!$K$40/12,12,F27/12,E41))</f>
        <v/>
      </c>
      <c r="G41" s="2621" t="str">
        <f>IF('Part III-Sources of Funds'!$I$40="","",-FV('Part III-Sources of Funds'!$K$40/12,12,G27/12,F41))</f>
        <v/>
      </c>
      <c r="H41" s="2621" t="str">
        <f>IF('Part III-Sources of Funds'!$I$40="","",-FV('Part III-Sources of Funds'!$K$40/12,12,H27/12,G41))</f>
        <v/>
      </c>
      <c r="I41" s="2621" t="str">
        <f>IF('Part III-Sources of Funds'!$I$40="","",-FV('Part III-Sources of Funds'!$K$40/12,12,I27/12,H41))</f>
        <v/>
      </c>
      <c r="J41" s="2621" t="str">
        <f>IF('Part III-Sources of Funds'!$I$40="","",-FV('Part III-Sources of Funds'!$K$40/12,12,J27/12,I41))</f>
        <v/>
      </c>
      <c r="K41" s="2621" t="str">
        <f>IF('Part III-Sources of Funds'!$I$40="","",-FV('Part III-Sources of Funds'!$K$40/12,12,K27/12,J41))</f>
        <v/>
      </c>
      <c r="N41" s="3325"/>
      <c r="O41" s="3327"/>
    </row>
    <row r="42" spans="1:19" ht="13.35" customHeight="1">
      <c r="A42" s="21" t="s">
        <v>764</v>
      </c>
      <c r="B42" s="2621" t="str">
        <f>IF('Part III-Sources of Funds'!$I$41="","",-FV('Part III-Sources of Funds'!$K$41/12,12,B28/12,'Part III-Sources of Funds'!$I$41))</f>
        <v/>
      </c>
      <c r="C42" s="2621" t="str">
        <f>IF('Part III-Sources of Funds'!$I$41="","",-FV('Part III-Sources of Funds'!$K$41/12,12,C28/12,B42))</f>
        <v/>
      </c>
      <c r="D42" s="2621" t="str">
        <f>IF('Part III-Sources of Funds'!$I$41="","",-FV('Part III-Sources of Funds'!$K$41/12,12,D28/12,C42))</f>
        <v/>
      </c>
      <c r="E42" s="2621" t="str">
        <f>IF('Part III-Sources of Funds'!$I$41="","",-FV('Part III-Sources of Funds'!$K$41/12,12,E28/12,D42))</f>
        <v/>
      </c>
      <c r="F42" s="2621" t="str">
        <f>IF('Part III-Sources of Funds'!$I$41="","",-FV('Part III-Sources of Funds'!$K$41/12,12,F28/12,E42))</f>
        <v/>
      </c>
      <c r="G42" s="2621" t="str">
        <f>IF('Part III-Sources of Funds'!$I$41="","",-FV('Part III-Sources of Funds'!$K$41/12,12,G28/12,F42))</f>
        <v/>
      </c>
      <c r="H42" s="2621" t="str">
        <f>IF('Part III-Sources of Funds'!$I$41="","",-FV('Part III-Sources of Funds'!$K$41/12,12,H28/12,G42))</f>
        <v/>
      </c>
      <c r="I42" s="2621" t="str">
        <f>IF('Part III-Sources of Funds'!$I$41="","",-FV('Part III-Sources of Funds'!$K$41/12,12,I28/12,H42))</f>
        <v/>
      </c>
      <c r="J42" s="2621" t="str">
        <f>IF('Part III-Sources of Funds'!$I$41="","",-FV('Part III-Sources of Funds'!$K$41/12,12,J28/12,I42))</f>
        <v/>
      </c>
      <c r="K42" s="2621" t="str">
        <f>IF('Part III-Sources of Funds'!$I$41="","",-FV('Part III-Sources of Funds'!$K$41/12,12,K28/12,J42))</f>
        <v/>
      </c>
      <c r="N42" s="3325"/>
      <c r="O42" s="3327"/>
    </row>
    <row r="43" spans="1:19" ht="13.35" customHeight="1">
      <c r="A43" s="417" t="s">
        <v>3771</v>
      </c>
      <c r="B43" s="2624" t="str">
        <f>IF('Part III-Sources of Funds'!$I$43="","",-FV('Part III-Sources of Funds'!$K$43/12,12,B31/12,'Part III-Sources of Funds'!$I$43))</f>
        <v/>
      </c>
      <c r="C43" s="2624" t="str">
        <f>IF('Part III-Sources of Funds'!$I$43="","",IF(-FV('Part III-Sources of Funds'!$K$43/12,12,C31/12,B43)&gt;0,-FV('Part III-Sources of Funds'!$K$43/12,12,C31/12,B43),0))</f>
        <v/>
      </c>
      <c r="D43" s="2624" t="str">
        <f>IF('Part III-Sources of Funds'!$I$43="","",IF(-FV('Part III-Sources of Funds'!$K$43/12,12,D31/12,C43)&gt;0,-FV('Part III-Sources of Funds'!$K$43/12,12,D31/12,C43),0))</f>
        <v/>
      </c>
      <c r="E43" s="2624" t="str">
        <f>IF('Part III-Sources of Funds'!$I$43="","",IF(-FV('Part III-Sources of Funds'!$K$43/12,12,E31/12,D43)&gt;0,-FV('Part III-Sources of Funds'!$K$43/12,12,E31/12,D43),0))</f>
        <v/>
      </c>
      <c r="F43" s="2624" t="str">
        <f>IF('Part III-Sources of Funds'!$I$43="","",IF(-FV('Part III-Sources of Funds'!$K$43/12,12,F31/12,E43)&gt;0,-FV('Part III-Sources of Funds'!$K$43/12,12,F31/12,E43),0))</f>
        <v/>
      </c>
      <c r="G43" s="2624" t="str">
        <f>IF('Part III-Sources of Funds'!$I$43="","",IF(-FV('Part III-Sources of Funds'!$K$43/12,12,G31/12,F43)&gt;0,-FV('Part III-Sources of Funds'!$K$43/12,12,G31/12,F43),0))</f>
        <v/>
      </c>
      <c r="H43" s="2624" t="str">
        <f>IF('Part III-Sources of Funds'!$I$43="","",IF(-FV('Part III-Sources of Funds'!$K$43/12,12,H31/12,G43)&gt;0,-FV('Part III-Sources of Funds'!$K$43/12,12,H31/12,G43),0))</f>
        <v/>
      </c>
      <c r="I43" s="2624" t="str">
        <f>IF('Part III-Sources of Funds'!$I$43="","",IF(-FV('Part III-Sources of Funds'!$K$43/12,12,I31/12,H43)&gt;0,-FV('Part III-Sources of Funds'!$K$43/12,12,I31/12,H43),0))</f>
        <v/>
      </c>
      <c r="J43" s="2624" t="str">
        <f>IF('Part III-Sources of Funds'!$I$43="","",IF(-FV('Part III-Sources of Funds'!$K$43/12,12,J31/12,I43)&gt;0,-FV('Part III-Sources of Funds'!$K$43/12,12,J31/12,I43),0))</f>
        <v/>
      </c>
      <c r="K43" s="2624" t="str">
        <f>IF('Part III-Sources of Funds'!$I$43="","",IF(-FV('Part III-Sources of Funds'!$K$43/12,12,K31/12,J43)&gt;0,-FV('Part III-Sources of Funds'!$K$43/12,12,K31/12,J43),0))</f>
        <v/>
      </c>
      <c r="N43" s="3337"/>
      <c r="O43" s="3339"/>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75" t="s">
        <v>2554</v>
      </c>
      <c r="O45" s="2975"/>
    </row>
    <row r="46" spans="1:19" ht="13.35" customHeight="1">
      <c r="A46" s="18" t="s">
        <v>2342</v>
      </c>
      <c r="B46" s="19">
        <f t="shared" ref="B46:K46" si="17">$B$14*(1+$B$5)^(B45-1)</f>
        <v>441997.62473473896</v>
      </c>
      <c r="C46" s="19">
        <f t="shared" si="17"/>
        <v>450837.57722943369</v>
      </c>
      <c r="D46" s="19">
        <f t="shared" si="17"/>
        <v>459854.3287740224</v>
      </c>
      <c r="E46" s="19">
        <f t="shared" si="17"/>
        <v>469051.41534950281</v>
      </c>
      <c r="F46" s="19">
        <f t="shared" si="17"/>
        <v>478432.44365649292</v>
      </c>
      <c r="G46" s="19">
        <f t="shared" si="17"/>
        <v>488001.09252962266</v>
      </c>
      <c r="H46" s="19">
        <f t="shared" si="17"/>
        <v>497761.11438021518</v>
      </c>
      <c r="I46" s="19">
        <f t="shared" si="17"/>
        <v>507716.33666781953</v>
      </c>
      <c r="J46" s="19">
        <f t="shared" si="17"/>
        <v>517870.66340117587</v>
      </c>
      <c r="K46" s="20">
        <f t="shared" si="17"/>
        <v>528228.07666919939</v>
      </c>
      <c r="N46" s="3344"/>
      <c r="O46" s="3346"/>
    </row>
    <row r="47" spans="1:19" ht="13.35" customHeight="1">
      <c r="A47" s="21" t="s">
        <v>994</v>
      </c>
      <c r="B47" s="22">
        <f t="shared" ref="B47:K47" si="18">$B$15*(1+$B$5)^(B45-1)</f>
        <v>8839.9524946947804</v>
      </c>
      <c r="C47" s="22">
        <f t="shared" si="18"/>
        <v>9016.7515445886729</v>
      </c>
      <c r="D47" s="22">
        <f t="shared" si="18"/>
        <v>9197.086575480449</v>
      </c>
      <c r="E47" s="22">
        <f t="shared" si="18"/>
        <v>9381.0283069900561</v>
      </c>
      <c r="F47" s="22">
        <f t="shared" si="18"/>
        <v>9568.6488731298596</v>
      </c>
      <c r="G47" s="22">
        <f t="shared" si="18"/>
        <v>9760.0218505924531</v>
      </c>
      <c r="H47" s="22">
        <f t="shared" si="18"/>
        <v>9955.2222876043033</v>
      </c>
      <c r="I47" s="22">
        <f t="shared" si="18"/>
        <v>10154.326733356391</v>
      </c>
      <c r="J47" s="22">
        <f t="shared" si="18"/>
        <v>10357.413268023518</v>
      </c>
      <c r="K47" s="23">
        <f t="shared" si="18"/>
        <v>10564.561533383987</v>
      </c>
      <c r="N47" s="3325"/>
      <c r="O47" s="3327"/>
    </row>
    <row r="48" spans="1:19" ht="13.35" customHeight="1">
      <c r="A48" s="21" t="s">
        <v>2343</v>
      </c>
      <c r="B48" s="22">
        <f t="shared" ref="B48:K48" si="19">-(B46+B47)*$B$8</f>
        <v>-31558.630406060365</v>
      </c>
      <c r="C48" s="22">
        <f t="shared" si="19"/>
        <v>-32189.803014181569</v>
      </c>
      <c r="D48" s="22">
        <f t="shared" si="19"/>
        <v>-32833.599074465201</v>
      </c>
      <c r="E48" s="22">
        <f t="shared" si="19"/>
        <v>-33490.271055954501</v>
      </c>
      <c r="F48" s="22">
        <f t="shared" si="19"/>
        <v>-34160.076477073599</v>
      </c>
      <c r="G48" s="22">
        <f t="shared" si="19"/>
        <v>-34843.278006615059</v>
      </c>
      <c r="H48" s="22">
        <f t="shared" si="19"/>
        <v>-35540.143566747363</v>
      </c>
      <c r="I48" s="22">
        <f t="shared" si="19"/>
        <v>-36250.946438082319</v>
      </c>
      <c r="J48" s="22">
        <f t="shared" si="19"/>
        <v>-36975.965366843964</v>
      </c>
      <c r="K48" s="23">
        <f t="shared" si="19"/>
        <v>-37715.484674180843</v>
      </c>
      <c r="N48" s="3325"/>
      <c r="O48" s="332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5"/>
      <c r="O49" s="332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25"/>
      <c r="O50" s="3327"/>
    </row>
    <row r="51" spans="1:19" ht="13.35" customHeight="1">
      <c r="A51" s="417" t="s">
        <v>4377</v>
      </c>
      <c r="B51" s="22">
        <f t="shared" ref="B51:K51" si="20">SUM(B46:B50)</f>
        <v>419278.94682337338</v>
      </c>
      <c r="C51" s="22">
        <f t="shared" si="20"/>
        <v>427664.52575984079</v>
      </c>
      <c r="D51" s="22">
        <f t="shared" si="20"/>
        <v>436217.81627503765</v>
      </c>
      <c r="E51" s="22">
        <f t="shared" si="20"/>
        <v>444942.17260053835</v>
      </c>
      <c r="F51" s="22">
        <f t="shared" si="20"/>
        <v>453841.01605254918</v>
      </c>
      <c r="G51" s="22">
        <f t="shared" si="20"/>
        <v>462917.83637360006</v>
      </c>
      <c r="H51" s="22">
        <f t="shared" si="20"/>
        <v>472176.1931010721</v>
      </c>
      <c r="I51" s="22">
        <f t="shared" si="20"/>
        <v>481619.71696309361</v>
      </c>
      <c r="J51" s="22">
        <f t="shared" si="20"/>
        <v>491252.11130235542</v>
      </c>
      <c r="K51" s="23">
        <f t="shared" si="20"/>
        <v>501077.15352840256</v>
      </c>
      <c r="N51" s="3325"/>
      <c r="O51" s="3327"/>
    </row>
    <row r="52" spans="1:19" ht="13.35" customHeight="1">
      <c r="A52" s="21" t="s">
        <v>597</v>
      </c>
      <c r="B52" s="22">
        <f t="shared" ref="B52:K52" si="21">$B$20*(1+$B$6)^(B45-1)</f>
        <v>-286506.84507961461</v>
      </c>
      <c r="C52" s="22">
        <f t="shared" si="21"/>
        <v>-295102.0504320031</v>
      </c>
      <c r="D52" s="22">
        <f t="shared" si="21"/>
        <v>-303955.11194496311</v>
      </c>
      <c r="E52" s="22">
        <f t="shared" si="21"/>
        <v>-313073.76530331199</v>
      </c>
      <c r="F52" s="22">
        <f t="shared" si="21"/>
        <v>-322465.97826241143</v>
      </c>
      <c r="G52" s="22">
        <f t="shared" si="21"/>
        <v>-332139.95761028375</v>
      </c>
      <c r="H52" s="22">
        <f t="shared" si="21"/>
        <v>-342104.15633859223</v>
      </c>
      <c r="I52" s="22">
        <f t="shared" si="21"/>
        <v>-352367.28102875</v>
      </c>
      <c r="J52" s="22">
        <f t="shared" si="21"/>
        <v>-362938.29945961246</v>
      </c>
      <c r="K52" s="23">
        <f t="shared" si="21"/>
        <v>-373826.44844340085</v>
      </c>
      <c r="N52" s="3325"/>
      <c r="O52" s="332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-37735</v>
      </c>
      <c r="C53" s="22">
        <f>IF(AND('Part VII-Pro Forma'!$G$8="Yes",'Part VII-Pro Forma'!$G$9="Yes"),"Choose One!",IF('Part VII-Pro Forma'!$G$8="Yes",ROUND((-$K$8*(1+'Part VII-Pro Forma'!$B$6)^('Part VII-Pro Forma'!C45-1)),),IF('Part VII-Pro Forma'!$G$9="Yes",ROUND((-(SUM(C46:C49)*'Part VII-Pro Forma'!$K$9)),),"Choose mgt fee")))</f>
        <v>-38490</v>
      </c>
      <c r="D53" s="22">
        <f>IF(AND('Part VII-Pro Forma'!$G$8="Yes",'Part VII-Pro Forma'!$G$9="Yes"),"Choose One!",IF('Part VII-Pro Forma'!$G$8="Yes",ROUND((-$K$8*(1+'Part VII-Pro Forma'!$B$6)^('Part VII-Pro Forma'!D45-1)),),IF('Part VII-Pro Forma'!$G$9="Yes",ROUND((-(SUM(D46:D49)*'Part VII-Pro Forma'!$K$9)),),"Choose mgt fee")))</f>
        <v>-39260</v>
      </c>
      <c r="E53" s="22">
        <f>IF(AND('Part VII-Pro Forma'!$G$8="Yes",'Part VII-Pro Forma'!$G$9="Yes"),"Choose One!",IF('Part VII-Pro Forma'!$G$8="Yes",ROUND((-$K$8*(1+'Part VII-Pro Forma'!$B$6)^('Part VII-Pro Forma'!E45-1)),),IF('Part VII-Pro Forma'!$G$9="Yes",ROUND((-(SUM(E46:E49)*'Part VII-Pro Forma'!$K$9)),),"Choose mgt fee")))</f>
        <v>-40045</v>
      </c>
      <c r="F53" s="22">
        <f>IF(AND('Part VII-Pro Forma'!$G$8="Yes",'Part VII-Pro Forma'!$G$9="Yes"),"Choose One!",IF('Part VII-Pro Forma'!$G$8="Yes",ROUND((-$K$8*(1+'Part VII-Pro Forma'!$B$6)^('Part VII-Pro Forma'!F45-1)),),IF('Part VII-Pro Forma'!$G$9="Yes",ROUND((-(SUM(F46:F49)*'Part VII-Pro Forma'!$K$9)),),"Choose mgt fee")))</f>
        <v>-40846</v>
      </c>
      <c r="G53" s="22">
        <f>IF(AND('Part VII-Pro Forma'!$G$8="Yes",'Part VII-Pro Forma'!$G$9="Yes"),"Choose One!",IF('Part VII-Pro Forma'!$G$8="Yes",ROUND((-$K$8*(1+'Part VII-Pro Forma'!$B$6)^('Part VII-Pro Forma'!G45-1)),),IF('Part VII-Pro Forma'!$G$9="Yes",ROUND((-(SUM(G46:G49)*'Part VII-Pro Forma'!$K$9)),),"Choose mgt fee")))</f>
        <v>-41663</v>
      </c>
      <c r="H53" s="22">
        <f>IF(AND('Part VII-Pro Forma'!$G$8="Yes",'Part VII-Pro Forma'!$G$9="Yes"),"Choose One!",IF('Part VII-Pro Forma'!$G$8="Yes",ROUND((-$K$8*(1+'Part VII-Pro Forma'!$B$6)^('Part VII-Pro Forma'!H45-1)),),IF('Part VII-Pro Forma'!$G$9="Yes",ROUND((-(SUM(H46:H49)*'Part VII-Pro Forma'!$K$9)),),"Choose mgt fee")))</f>
        <v>-42496</v>
      </c>
      <c r="I53" s="22">
        <f>IF(AND('Part VII-Pro Forma'!$G$8="Yes",'Part VII-Pro Forma'!$G$9="Yes"),"Choose One!",IF('Part VII-Pro Forma'!$G$8="Yes",ROUND((-$K$8*(1+'Part VII-Pro Forma'!$B$6)^('Part VII-Pro Forma'!I45-1)),),IF('Part VII-Pro Forma'!$G$9="Yes",ROUND((-(SUM(I46:I49)*'Part VII-Pro Forma'!$K$9)),),"Choose mgt fee")))</f>
        <v>-43346</v>
      </c>
      <c r="J53" s="22">
        <f>IF(AND('Part VII-Pro Forma'!$G$8="Yes",'Part VII-Pro Forma'!$G$9="Yes"),"Choose One!",IF('Part VII-Pro Forma'!$G$8="Yes",ROUND((-$K$8*(1+'Part VII-Pro Forma'!$B$6)^('Part VII-Pro Forma'!J45-1)),),IF('Part VII-Pro Forma'!$G$9="Yes",ROUND((-(SUM(J46:J49)*'Part VII-Pro Forma'!$K$9)),),"Choose mgt fee")))</f>
        <v>-44213</v>
      </c>
      <c r="K53" s="23">
        <f>IF(AND('Part VII-Pro Forma'!$G$8="Yes",'Part VII-Pro Forma'!$G$9="Yes"),"Choose One!",IF('Part VII-Pro Forma'!$G$8="Yes",ROUND((-$K$8*(1+'Part VII-Pro Forma'!$B$6)^('Part VII-Pro Forma'!K45-1)),),IF('Part VII-Pro Forma'!$G$9="Yes",ROUND((-(SUM(K46:K49)*'Part VII-Pro Forma'!$K$9)),),"Choose mgt fee")))</f>
        <v>-45097</v>
      </c>
      <c r="N53" s="3325"/>
      <c r="O53" s="3327"/>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325"/>
      <c r="O54" s="3327"/>
      <c r="Q54" s="929">
        <v>10</v>
      </c>
      <c r="R54" s="1043">
        <f>-SUM(B60:K60)</f>
        <v>0</v>
      </c>
      <c r="S54" s="1043">
        <f>SUM(B61:K61)+R54</f>
        <v>0</v>
      </c>
    </row>
    <row r="55" spans="1:19" ht="13.35" customHeight="1">
      <c r="A55" s="417" t="s">
        <v>4376</v>
      </c>
      <c r="B55" s="2619">
        <f>IF(B45&lt;=+'Part VI-Revenues &amp; Expenses'!$N$250,-'Part VI-Revenues &amp; Expenses'!$K$250,0)</f>
        <v>0</v>
      </c>
      <c r="C55" s="2619">
        <f>IF(C45&lt;=+'Part VI-Revenues &amp; Expenses'!$N$250,-'Part VI-Revenues &amp; Expenses'!$K$250,0)</f>
        <v>0</v>
      </c>
      <c r="D55" s="2619">
        <f>IF(D45&lt;=+'Part VI-Revenues &amp; Expenses'!$N$250,-'Part VI-Revenues &amp; Expenses'!$K$250,0)</f>
        <v>0</v>
      </c>
      <c r="E55" s="2619">
        <f>IF(E45&lt;=+'Part VI-Revenues &amp; Expenses'!$N$250,-'Part VI-Revenues &amp; Expenses'!$K$250,0)</f>
        <v>0</v>
      </c>
      <c r="F55" s="2619">
        <f>IF(F45&lt;=+'Part VI-Revenues &amp; Expenses'!$N$250,-'Part VI-Revenues &amp; Expenses'!$K$250,0)</f>
        <v>0</v>
      </c>
      <c r="G55" s="2619">
        <f>IF(G45&lt;=+'Part VI-Revenues &amp; Expenses'!$N$250,-'Part VI-Revenues &amp; Expenses'!$K$250,0)</f>
        <v>0</v>
      </c>
      <c r="H55" s="2619">
        <f>IF(H45&lt;=+'Part VI-Revenues &amp; Expenses'!$N$250,-'Part VI-Revenues &amp; Expenses'!$K$250,0)</f>
        <v>0</v>
      </c>
      <c r="I55" s="2619">
        <f>IF(I45&lt;=+'Part VI-Revenues &amp; Expenses'!$N$250,-'Part VI-Revenues &amp; Expenses'!$K$250,0)</f>
        <v>0</v>
      </c>
      <c r="J55" s="2619">
        <f>IF(J45&lt;=+'Part VI-Revenues &amp; Expenses'!$N$250,-'Part VI-Revenues &amp; Expenses'!$K$250,0)</f>
        <v>0</v>
      </c>
      <c r="K55" s="2619">
        <f>IF(K45&lt;=+'Part VI-Revenues &amp; Expenses'!$N$250,-'Part VI-Revenues &amp; Expenses'!$K$250,0)</f>
        <v>0</v>
      </c>
      <c r="N55" s="3325"/>
      <c r="O55" s="3327"/>
    </row>
    <row r="56" spans="1:19" ht="13.35" customHeight="1">
      <c r="A56" s="21" t="s">
        <v>1177</v>
      </c>
      <c r="B56" s="22">
        <f t="shared" ref="B56:K56" si="23">SUM(B51:B55)</f>
        <v>74878.356053596945</v>
      </c>
      <c r="C56" s="22">
        <f t="shared" si="23"/>
        <v>73308.967266971013</v>
      </c>
      <c r="D56" s="22">
        <f t="shared" si="23"/>
        <v>71616.291027381871</v>
      </c>
      <c r="E56" s="22">
        <f t="shared" si="23"/>
        <v>69795.401595452917</v>
      </c>
      <c r="F56" s="22">
        <f t="shared" si="23"/>
        <v>67840.19191731108</v>
      </c>
      <c r="G56" s="22">
        <f t="shared" si="23"/>
        <v>65745.367514304846</v>
      </c>
      <c r="H56" s="22">
        <f t="shared" si="23"/>
        <v>63505.440175998061</v>
      </c>
      <c r="I56" s="22">
        <f t="shared" si="23"/>
        <v>61113.721450267345</v>
      </c>
      <c r="J56" s="22">
        <f t="shared" si="23"/>
        <v>58564.315924144408</v>
      </c>
      <c r="K56" s="1482">
        <f t="shared" si="23"/>
        <v>55851.114288845209</v>
      </c>
      <c r="N56" s="3325"/>
      <c r="O56" s="3327"/>
    </row>
    <row r="57" spans="1:19" ht="13.35" customHeight="1">
      <c r="A57" s="21" t="str">
        <f>$A25</f>
        <v>Mortgage A</v>
      </c>
      <c r="B57" s="2620">
        <f>IF('Part III-Sources of Funds'!$P$38="", 0,-'Part III-Sources of Funds'!$P$38)*0</f>
        <v>0</v>
      </c>
      <c r="C57" s="2620">
        <f>IF('Part III-Sources of Funds'!$P$38="", 0,-'Part III-Sources of Funds'!$P$38)*0</f>
        <v>0</v>
      </c>
      <c r="D57" s="2620">
        <f>IF('Part III-Sources of Funds'!$P$38="", 0,-'Part III-Sources of Funds'!$P$38)*0</f>
        <v>0</v>
      </c>
      <c r="E57" s="2620">
        <f>IF('Part III-Sources of Funds'!$P$38="", 0,-'Part III-Sources of Funds'!$P$38)*0</f>
        <v>0</v>
      </c>
      <c r="F57" s="2620">
        <f>IF('Part III-Sources of Funds'!$P$38="", 0,-'Part III-Sources of Funds'!$P$38)*0</f>
        <v>0</v>
      </c>
      <c r="G57" s="2620">
        <f>IF('Part III-Sources of Funds'!$P$38="", 0,-'Part III-Sources of Funds'!$P$38)*0</f>
        <v>0</v>
      </c>
      <c r="H57" s="2620">
        <f>IF('Part III-Sources of Funds'!$P$38="", 0,-'Part III-Sources of Funds'!$P$38)*0</f>
        <v>0</v>
      </c>
      <c r="I57" s="2620">
        <f>IF('Part III-Sources of Funds'!$P$38="", 0,-'Part III-Sources of Funds'!$P$38)*0</f>
        <v>0</v>
      </c>
      <c r="J57" s="2620">
        <f>IF('Part III-Sources of Funds'!$P$38="", 0,-'Part III-Sources of Funds'!$P$38)*0</f>
        <v>0</v>
      </c>
      <c r="K57" s="2620">
        <f>IF('Part III-Sources of Funds'!$P$38="", 0,-'Part III-Sources of Funds'!$P$38)*0</f>
        <v>0</v>
      </c>
      <c r="N57" s="3325"/>
      <c r="O57" s="3327"/>
    </row>
    <row r="58" spans="1:19" ht="13.35" customHeight="1">
      <c r="A58" s="21" t="str">
        <f>$A26</f>
        <v>Mortgage B</v>
      </c>
      <c r="B58" s="2621">
        <f>IF('Part III-Sources of Funds'!$P$39="", 0,-'Part III-Sources of Funds'!$P$39)</f>
        <v>0</v>
      </c>
      <c r="C58" s="2621">
        <f>IF('Part III-Sources of Funds'!$P$39="", 0,-'Part III-Sources of Funds'!$P$39)</f>
        <v>0</v>
      </c>
      <c r="D58" s="2621">
        <f>IF('Part III-Sources of Funds'!$P$39="", 0,-'Part III-Sources of Funds'!$P$39)</f>
        <v>0</v>
      </c>
      <c r="E58" s="2621">
        <f>IF('Part III-Sources of Funds'!$P$39="", 0,-'Part III-Sources of Funds'!$P$39)</f>
        <v>0</v>
      </c>
      <c r="F58" s="2621">
        <f>IF('Part III-Sources of Funds'!$P$39="", 0,-'Part III-Sources of Funds'!$P$39)</f>
        <v>0</v>
      </c>
      <c r="G58" s="2621">
        <f>IF('Part III-Sources of Funds'!$P$39="", 0,-'Part III-Sources of Funds'!$P$39)</f>
        <v>0</v>
      </c>
      <c r="H58" s="2621">
        <f>IF('Part III-Sources of Funds'!$P$39="", 0,-'Part III-Sources of Funds'!$P$39)</f>
        <v>0</v>
      </c>
      <c r="I58" s="2621">
        <f>IF('Part III-Sources of Funds'!$P$39="", 0,-'Part III-Sources of Funds'!$P$39)</f>
        <v>0</v>
      </c>
      <c r="J58" s="2621">
        <f>IF('Part III-Sources of Funds'!$P$39="", 0,-'Part III-Sources of Funds'!$P$39)</f>
        <v>0</v>
      </c>
      <c r="K58" s="2621">
        <f>IF('Part III-Sources of Funds'!$P$39="", 0,-'Part III-Sources of Funds'!$P$39)</f>
        <v>0</v>
      </c>
      <c r="N58" s="3325"/>
      <c r="O58" s="3327"/>
    </row>
    <row r="59" spans="1:19" ht="13.35" customHeight="1">
      <c r="A59" s="21" t="str">
        <f>$A27</f>
        <v>Mortgage C</v>
      </c>
      <c r="B59" s="2621">
        <f>IF('Part III-Sources of Funds'!$P$40="", 0,-'Part III-Sources of Funds'!$P$40)</f>
        <v>0</v>
      </c>
      <c r="C59" s="2621">
        <f>IF('Part III-Sources of Funds'!$P$40="", 0,-'Part III-Sources of Funds'!$P$40)</f>
        <v>0</v>
      </c>
      <c r="D59" s="2621">
        <f>IF('Part III-Sources of Funds'!$P$40="", 0,-'Part III-Sources of Funds'!$P$40)</f>
        <v>0</v>
      </c>
      <c r="E59" s="2621">
        <f>IF('Part III-Sources of Funds'!$P$40="", 0,-'Part III-Sources of Funds'!$P$40)</f>
        <v>0</v>
      </c>
      <c r="F59" s="2621">
        <f>IF('Part III-Sources of Funds'!$P$40="", 0,-'Part III-Sources of Funds'!$P$40)</f>
        <v>0</v>
      </c>
      <c r="G59" s="2621">
        <f>IF('Part III-Sources of Funds'!$P$40="", 0,-'Part III-Sources of Funds'!$P$40)</f>
        <v>0</v>
      </c>
      <c r="H59" s="2621">
        <f>IF('Part III-Sources of Funds'!$P$40="", 0,-'Part III-Sources of Funds'!$P$40)</f>
        <v>0</v>
      </c>
      <c r="I59" s="2621">
        <f>IF('Part III-Sources of Funds'!$P$40="", 0,-'Part III-Sources of Funds'!$P$40)</f>
        <v>0</v>
      </c>
      <c r="J59" s="2621">
        <f>IF('Part III-Sources of Funds'!$P$40="", 0,-'Part III-Sources of Funds'!$P$40)</f>
        <v>0</v>
      </c>
      <c r="K59" s="2621">
        <f>IF('Part III-Sources of Funds'!$P$40="", 0,-'Part III-Sources of Funds'!$P$40)</f>
        <v>0</v>
      </c>
      <c r="N59" s="3325"/>
      <c r="O59" s="3327"/>
    </row>
    <row r="60" spans="1:19" ht="13.35" customHeight="1">
      <c r="A60" s="21" t="str">
        <f>$A28</f>
        <v>D/S Other Source,not DDF</v>
      </c>
      <c r="B60" s="2621">
        <f>IF('Part III-Sources of Funds'!$P$41="", 0,-'Part III-Sources of Funds'!$P$41)</f>
        <v>0</v>
      </c>
      <c r="C60" s="2621">
        <f>IF('Part III-Sources of Funds'!$P$41="", 0,-'Part III-Sources of Funds'!$P$41)</f>
        <v>0</v>
      </c>
      <c r="D60" s="2621">
        <f>IF('Part III-Sources of Funds'!$P$41="", 0,-'Part III-Sources of Funds'!$P$41)</f>
        <v>0</v>
      </c>
      <c r="E60" s="2621">
        <f>IF('Part III-Sources of Funds'!$P$41="", 0,-'Part III-Sources of Funds'!$P$41)</f>
        <v>0</v>
      </c>
      <c r="F60" s="2621">
        <f>IF('Part III-Sources of Funds'!$P$41="", 0,-'Part III-Sources of Funds'!$P$41)</f>
        <v>0</v>
      </c>
      <c r="G60" s="2621">
        <f>IF('Part III-Sources of Funds'!$P$41="", 0,-'Part III-Sources of Funds'!$P$41)</f>
        <v>0</v>
      </c>
      <c r="H60" s="2621">
        <f>IF('Part III-Sources of Funds'!$P$41="", 0,-'Part III-Sources of Funds'!$P$41)</f>
        <v>0</v>
      </c>
      <c r="I60" s="2621">
        <f>IF('Part III-Sources of Funds'!$P$41="", 0,-'Part III-Sources of Funds'!$P$41)</f>
        <v>0</v>
      </c>
      <c r="J60" s="2621">
        <f>IF('Part III-Sources of Funds'!$P$41="", 0,-'Part III-Sources of Funds'!$P$41)</f>
        <v>0</v>
      </c>
      <c r="K60" s="2621">
        <f>IF('Part III-Sources of Funds'!$P$41="", 0,-'Part III-Sources of Funds'!$P$41)</f>
        <v>0</v>
      </c>
      <c r="N60" s="3325"/>
      <c r="O60" s="3327"/>
    </row>
    <row r="61" spans="1:19" ht="13.35" customHeight="1">
      <c r="A61" s="21" t="s">
        <v>745</v>
      </c>
      <c r="B61" s="2622"/>
      <c r="C61" s="2622"/>
      <c r="D61" s="2622"/>
      <c r="E61" s="2622"/>
      <c r="F61" s="2622"/>
      <c r="G61" s="2622"/>
      <c r="H61" s="2622"/>
      <c r="I61" s="2622"/>
      <c r="J61" s="2622"/>
      <c r="K61" s="2622"/>
      <c r="N61" s="3325"/>
      <c r="O61" s="3327"/>
      <c r="Q61" s="929"/>
      <c r="R61" s="1043"/>
    </row>
    <row r="62" spans="1:19" ht="13.35" customHeight="1">
      <c r="A62" s="417" t="s">
        <v>1141</v>
      </c>
      <c r="B62" s="2621">
        <f>+K30</f>
        <v>-5000</v>
      </c>
      <c r="C62" s="2621">
        <f t="shared" ref="C62:K62" si="24">+B62</f>
        <v>-5000</v>
      </c>
      <c r="D62" s="2621">
        <f t="shared" si="24"/>
        <v>-5000</v>
      </c>
      <c r="E62" s="2621">
        <f t="shared" si="24"/>
        <v>-5000</v>
      </c>
      <c r="F62" s="2621">
        <f t="shared" si="24"/>
        <v>-5000</v>
      </c>
      <c r="G62" s="2621">
        <f t="shared" si="24"/>
        <v>-5000</v>
      </c>
      <c r="H62" s="2621">
        <f t="shared" si="24"/>
        <v>-5000</v>
      </c>
      <c r="I62" s="2621">
        <f t="shared" si="24"/>
        <v>-5000</v>
      </c>
      <c r="J62" s="2621">
        <f t="shared" si="24"/>
        <v>-5000</v>
      </c>
      <c r="K62" s="2621">
        <f t="shared" si="24"/>
        <v>-5000</v>
      </c>
      <c r="N62" s="3325"/>
      <c r="O62" s="3327"/>
    </row>
    <row r="63" spans="1:19" ht="13.35" customHeight="1">
      <c r="A63" s="417" t="s">
        <v>3770</v>
      </c>
      <c r="B63" s="2624">
        <f>IF('Part III-Sources of Funds'!$P$43="", 0,-'Part III-Sources of Funds'!$P$43)</f>
        <v>0</v>
      </c>
      <c r="C63" s="2624">
        <f>IF('Part III-Sources of Funds'!$P$43="", 0,-'Part III-Sources of Funds'!$P$43)</f>
        <v>0</v>
      </c>
      <c r="D63" s="2624">
        <f>IF('Part III-Sources of Funds'!$P$43="", 0,-'Part III-Sources of Funds'!$P$43)</f>
        <v>0</v>
      </c>
      <c r="E63" s="2624">
        <f>IF('Part III-Sources of Funds'!$P$43="", 0,-'Part III-Sources of Funds'!$P$43)</f>
        <v>0</v>
      </c>
      <c r="F63" s="2624">
        <f>IF('Part III-Sources of Funds'!$P$43="", 0,-'Part III-Sources of Funds'!$P$43)</f>
        <v>0</v>
      </c>
      <c r="G63" s="2624"/>
      <c r="H63" s="2624"/>
      <c r="I63" s="2624"/>
      <c r="J63" s="2624"/>
      <c r="K63" s="2624"/>
      <c r="N63" s="3325"/>
      <c r="O63" s="3327"/>
    </row>
    <row r="64" spans="1:19" ht="13.35" customHeight="1">
      <c r="A64" s="21" t="s">
        <v>1142</v>
      </c>
      <c r="B64" s="22">
        <f t="shared" ref="B64:K64" si="25">SUM(B56:B63)</f>
        <v>69878.356053596945</v>
      </c>
      <c r="C64" s="22">
        <f t="shared" si="25"/>
        <v>68308.967266971013</v>
      </c>
      <c r="D64" s="22">
        <f t="shared" si="25"/>
        <v>66616.291027381871</v>
      </c>
      <c r="E64" s="22">
        <f t="shared" si="25"/>
        <v>64795.401595452917</v>
      </c>
      <c r="F64" s="22">
        <f t="shared" si="25"/>
        <v>62840.19191731108</v>
      </c>
      <c r="G64" s="22">
        <f t="shared" si="25"/>
        <v>60745.367514304846</v>
      </c>
      <c r="H64" s="22">
        <f t="shared" si="25"/>
        <v>58505.440175998061</v>
      </c>
      <c r="I64" s="22">
        <f t="shared" si="25"/>
        <v>56113.721450267345</v>
      </c>
      <c r="J64" s="22">
        <f t="shared" si="25"/>
        <v>53564.315924144408</v>
      </c>
      <c r="K64" s="596">
        <f t="shared" si="25"/>
        <v>50851.114288845209</v>
      </c>
      <c r="N64" s="3325"/>
      <c r="O64" s="3327"/>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325"/>
      <c r="O65" s="332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25"/>
      <c r="O66" s="332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25"/>
      <c r="O67" s="332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25"/>
      <c r="O68" s="3327"/>
    </row>
    <row r="69" spans="1:15" ht="13.35" customHeight="1">
      <c r="A69" s="417" t="s">
        <v>3533</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325"/>
      <c r="O69" s="3327"/>
    </row>
    <row r="70" spans="1:15" ht="13.35" customHeight="1">
      <c r="A70" s="21" t="s">
        <v>752</v>
      </c>
      <c r="B70" s="265">
        <f t="shared" ref="B70:K70" si="31">IF(OR(B53="Choose mgt fee",B53="Choose One!"),"",(B46+B47+B48+B49+B50) / -(B52+B53+B54))</f>
        <v>1.2174164564765551</v>
      </c>
      <c r="C70" s="265">
        <f t="shared" si="31"/>
        <v>1.2068796876751859</v>
      </c>
      <c r="D70" s="265">
        <f t="shared" si="31"/>
        <v>1.1964234542868037</v>
      </c>
      <c r="E70" s="265">
        <f t="shared" si="31"/>
        <v>1.1860482536167338</v>
      </c>
      <c r="F70" s="265">
        <f t="shared" si="31"/>
        <v>1.175751417291127</v>
      </c>
      <c r="G70" s="265">
        <f t="shared" si="31"/>
        <v>1.1655335469327213</v>
      </c>
      <c r="H70" s="265">
        <f t="shared" si="31"/>
        <v>1.1553951187391216</v>
      </c>
      <c r="I70" s="265">
        <f t="shared" si="31"/>
        <v>1.1453337695595431</v>
      </c>
      <c r="J70" s="265">
        <f t="shared" si="31"/>
        <v>1.1353500527394205</v>
      </c>
      <c r="K70" s="266">
        <f t="shared" si="31"/>
        <v>1.1254444020934591</v>
      </c>
      <c r="N70" s="3325"/>
      <c r="O70" s="3327"/>
    </row>
    <row r="71" spans="1:15" ht="13.35" customHeight="1">
      <c r="A71" s="417" t="s">
        <v>2550</v>
      </c>
      <c r="B71" s="2625">
        <f>IF('Part III-Sources of Funds'!$I$38="","",-FV('Part III-Sources of Funds'!$K$38/12,12,B57/12,K39))</f>
        <v>-4.3203631842817177E-8</v>
      </c>
      <c r="C71" s="2625">
        <f>IF('Part III-Sources of Funds'!$I$38="","",-FV('Part III-Sources of Funds'!$K$38/12,12,C57/12,B71))</f>
        <v>-4.3703100762733816E-8</v>
      </c>
      <c r="D71" s="2625">
        <f>IF('Part III-Sources of Funds'!$I$38="","",-FV('Part III-Sources of Funds'!$K$38/12,12,D57/12,C71))</f>
        <v>-4.4208343947250942E-8</v>
      </c>
      <c r="E71" s="2625">
        <f>IF('Part III-Sources of Funds'!$I$38="","",-FV('Part III-Sources of Funds'!$K$38/12,12,E57/12,D71))</f>
        <v>-4.4719428151536599E-8</v>
      </c>
      <c r="F71" s="2625">
        <f>IF('Part III-Sources of Funds'!$I$38="","",-FV('Part III-Sources of Funds'!$K$38/12,12,F57/12,E71))</f>
        <v>-4.5236420902502538E-8</v>
      </c>
      <c r="G71" s="2625">
        <f>IF('Part III-Sources of Funds'!$I$38="","",-FV('Part III-Sources of Funds'!$K$38/12,12,G57/12,F71))</f>
        <v>-4.5759390507726218E-8</v>
      </c>
      <c r="H71" s="2625">
        <f>IF('Part III-Sources of Funds'!$I$38="","",-FV('Part III-Sources of Funds'!$K$38/12,12,H57/12,G71))</f>
        <v>-4.6288406064475931E-8</v>
      </c>
      <c r="I71" s="2625">
        <f>IF('Part III-Sources of Funds'!$I$38="","",-FV('Part III-Sources of Funds'!$K$38/12,12,I57/12,H71))</f>
        <v>-4.6823537468840265E-8</v>
      </c>
      <c r="J71" s="2625">
        <f>IF('Part III-Sources of Funds'!$I$38="","",-FV('Part III-Sources of Funds'!$K$38/12,12,J57/12,I71))</f>
        <v>-4.7364855424963111E-8</v>
      </c>
      <c r="K71" s="2625">
        <f>IF('Part III-Sources of Funds'!$I$38="","",-FV('Part III-Sources of Funds'!$K$38/12,12,K57/12,J71))</f>
        <v>-4.7912431454385439E-8</v>
      </c>
      <c r="N71" s="3325"/>
      <c r="O71" s="3327"/>
    </row>
    <row r="72" spans="1:15" ht="13.35" customHeight="1">
      <c r="A72" s="417" t="s">
        <v>2551</v>
      </c>
      <c r="B72" s="2621" t="str">
        <f>IF('Part III-Sources of Funds'!$I$39="","",-FV('Part III-Sources of Funds'!$K$39/12,12,B58/12,K40))</f>
        <v/>
      </c>
      <c r="C72" s="2621" t="str">
        <f>IF('Part III-Sources of Funds'!$I$39="","",-FV('Part III-Sources of Funds'!$K$39/12,12,C58/12,B72))</f>
        <v/>
      </c>
      <c r="D72" s="2621" t="str">
        <f>IF('Part III-Sources of Funds'!$I$39="","",-FV('Part III-Sources of Funds'!$K$39/12,12,D58/12,C72))</f>
        <v/>
      </c>
      <c r="E72" s="2621" t="str">
        <f>IF('Part III-Sources of Funds'!$I$39="","",-FV('Part III-Sources of Funds'!$K$39/12,12,E58/12,D72))</f>
        <v/>
      </c>
      <c r="F72" s="2621" t="str">
        <f>IF('Part III-Sources of Funds'!$I$39="","",-FV('Part III-Sources of Funds'!$K$39/12,12,F58/12,E72))</f>
        <v/>
      </c>
      <c r="G72" s="2621" t="str">
        <f>IF('Part III-Sources of Funds'!$I$39="","",-FV('Part III-Sources of Funds'!$K$39/12,12,G58/12,F72))</f>
        <v/>
      </c>
      <c r="H72" s="2621" t="str">
        <f>IF('Part III-Sources of Funds'!$I$39="","",-FV('Part III-Sources of Funds'!$K$39/12,12,H58/12,G72))</f>
        <v/>
      </c>
      <c r="I72" s="2621" t="str">
        <f>IF('Part III-Sources of Funds'!$I$39="","",-FV('Part III-Sources of Funds'!$K$39/12,12,I58/12,H72))</f>
        <v/>
      </c>
      <c r="J72" s="2621" t="str">
        <f>IF('Part III-Sources of Funds'!$I$39="","",-FV('Part III-Sources of Funds'!$K$39/12,12,J58/12,I72))</f>
        <v/>
      </c>
      <c r="K72" s="2621" t="str">
        <f>IF('Part III-Sources of Funds'!$I$39="","",-FV('Part III-Sources of Funds'!$K$39/12,12,K58/12,J72))</f>
        <v/>
      </c>
      <c r="N72" s="3325"/>
      <c r="O72" s="3327"/>
    </row>
    <row r="73" spans="1:15" ht="13.35" customHeight="1">
      <c r="A73" s="417" t="s">
        <v>2552</v>
      </c>
      <c r="B73" s="2621" t="str">
        <f>IF('Part III-Sources of Funds'!$I$40="","",-FV('Part III-Sources of Funds'!$K$40/12,12,B59/12,K41))</f>
        <v/>
      </c>
      <c r="C73" s="2621" t="str">
        <f>IF('Part III-Sources of Funds'!$I$40="","",-FV('Part III-Sources of Funds'!$K$40/12,12,C59/12,B73))</f>
        <v/>
      </c>
      <c r="D73" s="2621" t="str">
        <f>IF('Part III-Sources of Funds'!$I$40="","",-FV('Part III-Sources of Funds'!$K$40/12,12,D59/12,C73))</f>
        <v/>
      </c>
      <c r="E73" s="2621" t="str">
        <f>IF('Part III-Sources of Funds'!$I$40="","",-FV('Part III-Sources of Funds'!$K$40/12,12,E59/12,D73))</f>
        <v/>
      </c>
      <c r="F73" s="2621" t="str">
        <f>IF('Part III-Sources of Funds'!$I$40="","",-FV('Part III-Sources of Funds'!$K$40/12,12,F59/12,E73))</f>
        <v/>
      </c>
      <c r="G73" s="2621" t="str">
        <f>IF('Part III-Sources of Funds'!$I$40="","",-FV('Part III-Sources of Funds'!$K$40/12,12,G59/12,F73))</f>
        <v/>
      </c>
      <c r="H73" s="2621" t="str">
        <f>IF('Part III-Sources of Funds'!$I$40="","",-FV('Part III-Sources of Funds'!$K$40/12,12,H59/12,G73))</f>
        <v/>
      </c>
      <c r="I73" s="2621" t="str">
        <f>IF('Part III-Sources of Funds'!$I$40="","",-FV('Part III-Sources of Funds'!$K$40/12,12,I59/12,H73))</f>
        <v/>
      </c>
      <c r="J73" s="2621" t="str">
        <f>IF('Part III-Sources of Funds'!$I$40="","",-FV('Part III-Sources of Funds'!$K$40/12,12,J59/12,I73))</f>
        <v/>
      </c>
      <c r="K73" s="2621" t="str">
        <f>IF('Part III-Sources of Funds'!$I$40="","",-FV('Part III-Sources of Funds'!$K$40/12,12,K59/12,J73))</f>
        <v/>
      </c>
      <c r="N73" s="3325"/>
      <c r="O73" s="3327"/>
    </row>
    <row r="74" spans="1:15" ht="13.35" customHeight="1">
      <c r="A74" s="21" t="s">
        <v>764</v>
      </c>
      <c r="B74" s="2621" t="str">
        <f>IF('Part III-Sources of Funds'!$I$41="","",-FV('Part III-Sources of Funds'!$K$41/12,12,B60/12,K42))</f>
        <v/>
      </c>
      <c r="C74" s="2621" t="str">
        <f>IF('Part III-Sources of Funds'!$I$41="","",-FV('Part III-Sources of Funds'!$K$41/12,12,C60/12,B74))</f>
        <v/>
      </c>
      <c r="D74" s="2621" t="str">
        <f>IF('Part III-Sources of Funds'!$I$41="","",-FV('Part III-Sources of Funds'!$K$41/12,12,D60/12,C74))</f>
        <v/>
      </c>
      <c r="E74" s="2621" t="str">
        <f>IF('Part III-Sources of Funds'!$I$41="","",-FV('Part III-Sources of Funds'!$K$41/12,12,E60/12,D74))</f>
        <v/>
      </c>
      <c r="F74" s="2621" t="str">
        <f>IF('Part III-Sources of Funds'!$I$41="","",-FV('Part III-Sources of Funds'!$K$41/12,12,F60/12,E74))</f>
        <v/>
      </c>
      <c r="G74" s="2621" t="str">
        <f>IF('Part III-Sources of Funds'!$I$41="","",-FV('Part III-Sources of Funds'!$K$41/12,12,G60/12,F74))</f>
        <v/>
      </c>
      <c r="H74" s="2621" t="str">
        <f>IF('Part III-Sources of Funds'!$I$41="","",-FV('Part III-Sources of Funds'!$K$41/12,12,H60/12,G74))</f>
        <v/>
      </c>
      <c r="I74" s="2621" t="str">
        <f>IF('Part III-Sources of Funds'!$I$41="","",-FV('Part III-Sources of Funds'!$K$41/12,12,I60/12,H74))</f>
        <v/>
      </c>
      <c r="J74" s="2621" t="str">
        <f>IF('Part III-Sources of Funds'!$I$41="","",-FV('Part III-Sources of Funds'!$K$41/12,12,J60/12,I74))</f>
        <v/>
      </c>
      <c r="K74" s="2621" t="str">
        <f>IF('Part III-Sources of Funds'!$I$41="","",-FV('Part III-Sources of Funds'!$K$41/12,12,K60/12,J74))</f>
        <v/>
      </c>
      <c r="N74" s="3325"/>
      <c r="O74" s="3327"/>
    </row>
    <row r="75" spans="1:15" ht="13.35" customHeight="1">
      <c r="A75" s="417" t="s">
        <v>3771</v>
      </c>
      <c r="B75" s="2624" t="str">
        <f>IF('Part III-Sources of Funds'!$I$43="","",IF(-FV('Part III-Sources of Funds'!$K$43/12,12,B63/12,K43)&gt;0,-FV('Part III-Sources of Funds'!$K$43/12,12,B63/12,K43),0))</f>
        <v/>
      </c>
      <c r="C75" s="2624" t="str">
        <f>IF('Part III-Sources of Funds'!$I$43="","",IF(-FV('Part III-Sources of Funds'!$K$43/12,12,C63/12,B75)&gt;0,-FV('Part III-Sources of Funds'!$K$43/12,12,C63/12,B75),0))</f>
        <v/>
      </c>
      <c r="D75" s="2624" t="str">
        <f>IF('Part III-Sources of Funds'!$I$43="","",IF(-FV('Part III-Sources of Funds'!$K$43/12,12,D63/12,C75)&gt;0,-FV('Part III-Sources of Funds'!$K$43/12,12,D63/12,C75),0))</f>
        <v/>
      </c>
      <c r="E75" s="2624" t="str">
        <f>IF('Part III-Sources of Funds'!$I$43="","",IF(-FV('Part III-Sources of Funds'!$K$43/12,12,E63/12,D75)&gt;0,-FV('Part III-Sources of Funds'!$K$43/12,12,E63/12,D75),0))</f>
        <v/>
      </c>
      <c r="F75" s="2624" t="str">
        <f>IF('Part III-Sources of Funds'!$I$43="","",IF(-FV('Part III-Sources of Funds'!$K$43/12,12,F63/12,E75)&gt;0,-FV('Part III-Sources of Funds'!$K$43/12,12,F63/12,E75),0))</f>
        <v/>
      </c>
      <c r="G75" s="2624" t="str">
        <f>IF('Part III-Sources of Funds'!$I$43="","",IF(-FV('Part III-Sources of Funds'!$K$43/12,12,G63/12,F75)&gt;0,-FV('Part III-Sources of Funds'!$K$43/12,12,G63/12,F75),0))</f>
        <v/>
      </c>
      <c r="H75" s="2624" t="str">
        <f>IF('Part III-Sources of Funds'!$I$41="","",-FV('Part III-Sources of Funds'!$K$41/12,12,H61/12,G75))</f>
        <v/>
      </c>
      <c r="I75" s="2624" t="str">
        <f>IF('Part III-Sources of Funds'!$I$41="","",-FV('Part III-Sources of Funds'!$K$41/12,12,I61/12,H75))</f>
        <v/>
      </c>
      <c r="J75" s="2624" t="str">
        <f>IF('Part III-Sources of Funds'!$I$41="","",-FV('Part III-Sources of Funds'!$K$41/12,12,J61/12,I75))</f>
        <v/>
      </c>
      <c r="K75" s="2624" t="str">
        <f>IF('Part III-Sources of Funds'!$I$41="","",-FV('Part III-Sources of Funds'!$K$41/12,12,K61/12,J75))</f>
        <v/>
      </c>
      <c r="N75" s="3337"/>
      <c r="O75" s="3339"/>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75" t="s">
        <v>2555</v>
      </c>
      <c r="O77" s="2975"/>
    </row>
    <row r="78" spans="1:15" ht="13.35" customHeight="1">
      <c r="A78" s="18" t="s">
        <v>2342</v>
      </c>
      <c r="B78" s="19">
        <f t="shared" ref="B78:K78" si="33">$B$14*(1+$B$5)^(B77-1)</f>
        <v>538792.63820258342</v>
      </c>
      <c r="C78" s="19">
        <f t="shared" si="33"/>
        <v>549568.49096663506</v>
      </c>
      <c r="D78" s="19">
        <f t="shared" si="33"/>
        <v>560559.86078596779</v>
      </c>
      <c r="E78" s="19">
        <f t="shared" si="33"/>
        <v>571771.05800168705</v>
      </c>
      <c r="F78" s="19">
        <f t="shared" si="33"/>
        <v>583206.47916172084</v>
      </c>
      <c r="G78" s="19">
        <f t="shared" si="33"/>
        <v>594870.60874495527</v>
      </c>
      <c r="H78" s="19">
        <f t="shared" si="33"/>
        <v>606768.0209198544</v>
      </c>
      <c r="I78" s="19">
        <f t="shared" si="33"/>
        <v>618903.38133825141</v>
      </c>
      <c r="J78" s="19">
        <f t="shared" si="33"/>
        <v>631281.44896501652</v>
      </c>
      <c r="K78" s="20">
        <f t="shared" si="33"/>
        <v>643907.07794431678</v>
      </c>
      <c r="N78" s="3344"/>
      <c r="O78" s="3346"/>
    </row>
    <row r="79" spans="1:15" ht="13.35" customHeight="1">
      <c r="A79" s="21" t="s">
        <v>994</v>
      </c>
      <c r="B79" s="22">
        <f t="shared" ref="B79:K79" si="34">$B$15*(1+$B$5)^(B77-1)</f>
        <v>10775.852764051668</v>
      </c>
      <c r="C79" s="22">
        <f t="shared" si="34"/>
        <v>10991.369819332702</v>
      </c>
      <c r="D79" s="22">
        <f t="shared" si="34"/>
        <v>11211.197215719356</v>
      </c>
      <c r="E79" s="22">
        <f t="shared" si="34"/>
        <v>11435.42116003374</v>
      </c>
      <c r="F79" s="22">
        <f t="shared" si="34"/>
        <v>11664.129583234417</v>
      </c>
      <c r="G79" s="22">
        <f t="shared" si="34"/>
        <v>11897.412174899104</v>
      </c>
      <c r="H79" s="22">
        <f t="shared" si="34"/>
        <v>12135.360418397087</v>
      </c>
      <c r="I79" s="22">
        <f t="shared" si="34"/>
        <v>12378.067626765027</v>
      </c>
      <c r="J79" s="22">
        <f t="shared" si="34"/>
        <v>12625.628979300331</v>
      </c>
      <c r="K79" s="23">
        <f t="shared" si="34"/>
        <v>12878.141558886335</v>
      </c>
      <c r="N79" s="3325"/>
      <c r="O79" s="3327"/>
    </row>
    <row r="80" spans="1:15" ht="13.35" customHeight="1">
      <c r="A80" s="21" t="s">
        <v>2343</v>
      </c>
      <c r="B80" s="22">
        <f t="shared" ref="B80:K80" si="35">-(B78+B79)*$B$8</f>
        <v>-38469.794367664457</v>
      </c>
      <c r="C80" s="22">
        <f t="shared" si="35"/>
        <v>-39239.190255017747</v>
      </c>
      <c r="D80" s="22">
        <f t="shared" si="35"/>
        <v>-40023.974060118104</v>
      </c>
      <c r="E80" s="22">
        <f t="shared" si="35"/>
        <v>-40824.453541320465</v>
      </c>
      <c r="F80" s="22">
        <f t="shared" si="35"/>
        <v>-41640.942612146871</v>
      </c>
      <c r="G80" s="22">
        <f t="shared" si="35"/>
        <v>-42473.761464389812</v>
      </c>
      <c r="H80" s="22">
        <f t="shared" si="35"/>
        <v>-43323.236693677609</v>
      </c>
      <c r="I80" s="22">
        <f t="shared" si="35"/>
        <v>-44189.701427551154</v>
      </c>
      <c r="J80" s="22">
        <f t="shared" si="35"/>
        <v>-45073.495456102188</v>
      </c>
      <c r="K80" s="23">
        <f t="shared" si="35"/>
        <v>-45974.965365224227</v>
      </c>
      <c r="N80" s="3325"/>
      <c r="O80" s="332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5"/>
      <c r="O81" s="332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5"/>
      <c r="O82" s="3327"/>
    </row>
    <row r="83" spans="1:19" ht="13.35" customHeight="1">
      <c r="A83" s="417" t="s">
        <v>4377</v>
      </c>
      <c r="B83" s="22">
        <f t="shared" ref="B83:K83" si="36">SUM(B78:B82)</f>
        <v>511098.69659897062</v>
      </c>
      <c r="C83" s="22">
        <f t="shared" si="36"/>
        <v>521320.67053095007</v>
      </c>
      <c r="D83" s="22">
        <f t="shared" si="36"/>
        <v>531747.08394156909</v>
      </c>
      <c r="E83" s="22">
        <f t="shared" si="36"/>
        <v>542382.02562040032</v>
      </c>
      <c r="F83" s="22">
        <f t="shared" si="36"/>
        <v>553229.66613280843</v>
      </c>
      <c r="G83" s="22">
        <f t="shared" si="36"/>
        <v>564294.25945546455</v>
      </c>
      <c r="H83" s="22">
        <f t="shared" si="36"/>
        <v>575580.14464457391</v>
      </c>
      <c r="I83" s="22">
        <f t="shared" si="36"/>
        <v>587091.7475374653</v>
      </c>
      <c r="J83" s="22">
        <f t="shared" si="36"/>
        <v>598833.58248821471</v>
      </c>
      <c r="K83" s="23">
        <f t="shared" si="36"/>
        <v>610810.25413797889</v>
      </c>
      <c r="N83" s="3325"/>
      <c r="O83" s="3327"/>
    </row>
    <row r="84" spans="1:19" ht="13.35" customHeight="1">
      <c r="A84" s="21" t="s">
        <v>597</v>
      </c>
      <c r="B84" s="22">
        <f t="shared" ref="B84:K84" si="37">$B$20*(1+$B$6)^(B77-1)</f>
        <v>-385041.24189670285</v>
      </c>
      <c r="C84" s="22">
        <f t="shared" si="37"/>
        <v>-396592.4791536039</v>
      </c>
      <c r="D84" s="22">
        <f t="shared" si="37"/>
        <v>-408490.25352821208</v>
      </c>
      <c r="E84" s="22">
        <f t="shared" si="37"/>
        <v>-420744.96113405842</v>
      </c>
      <c r="F84" s="22">
        <f t="shared" si="37"/>
        <v>-433367.30996808014</v>
      </c>
      <c r="G84" s="22">
        <f t="shared" si="37"/>
        <v>-446368.32926712255</v>
      </c>
      <c r="H84" s="22">
        <f t="shared" si="37"/>
        <v>-459759.37914513628</v>
      </c>
      <c r="I84" s="22">
        <f t="shared" si="37"/>
        <v>-473552.16051949031</v>
      </c>
      <c r="J84" s="22">
        <f t="shared" si="37"/>
        <v>-487758.72533507505</v>
      </c>
      <c r="K84" s="23">
        <f t="shared" si="37"/>
        <v>-502391.48709512723</v>
      </c>
      <c r="N84" s="3325"/>
      <c r="O84" s="332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-45999</v>
      </c>
      <c r="C85" s="22">
        <f>IF(AND('Part VII-Pro Forma'!$G$8="Yes",'Part VII-Pro Forma'!$G$9="Yes"),"Choose One!",IF('Part VII-Pro Forma'!$G$8="Yes",ROUND((-$K$8*(1+'Part VII-Pro Forma'!$B$6)^('Part VII-Pro Forma'!C77-1)),),IF('Part VII-Pro Forma'!$G$9="Yes",ROUND((-(SUM(C78:C81)*'Part VII-Pro Forma'!$K$9)),),"Choose mgt fee")))</f>
        <v>-46919</v>
      </c>
      <c r="D85" s="22">
        <f>IF(AND('Part VII-Pro Forma'!$G$8="Yes",'Part VII-Pro Forma'!$G$9="Yes"),"Choose One!",IF('Part VII-Pro Forma'!$G$8="Yes",ROUND((-$K$8*(1+'Part VII-Pro Forma'!$B$6)^('Part VII-Pro Forma'!D77-1)),),IF('Part VII-Pro Forma'!$G$9="Yes",ROUND((-(SUM(D78:D81)*'Part VII-Pro Forma'!$K$9)),),"Choose mgt fee")))</f>
        <v>-47857</v>
      </c>
      <c r="E85" s="22">
        <f>IF(AND('Part VII-Pro Forma'!$G$8="Yes",'Part VII-Pro Forma'!$G$9="Yes"),"Choose One!",IF('Part VII-Pro Forma'!$G$8="Yes",ROUND((-$K$8*(1+'Part VII-Pro Forma'!$B$6)^('Part VII-Pro Forma'!E77-1)),),IF('Part VII-Pro Forma'!$G$9="Yes",ROUND((-(SUM(E78:E81)*'Part VII-Pro Forma'!$K$9)),),"Choose mgt fee")))</f>
        <v>-48814</v>
      </c>
      <c r="F85" s="22">
        <f>IF(AND('Part VII-Pro Forma'!$G$8="Yes",'Part VII-Pro Forma'!$G$9="Yes"),"Choose One!",IF('Part VII-Pro Forma'!$G$8="Yes",ROUND((-$K$8*(1+'Part VII-Pro Forma'!$B$6)^('Part VII-Pro Forma'!F77-1)),),IF('Part VII-Pro Forma'!$G$9="Yes",ROUND((-(SUM(F78:F81)*'Part VII-Pro Forma'!$K$9)),),"Choose mgt fee")))</f>
        <v>-49791</v>
      </c>
      <c r="G85" s="22">
        <f>IF(AND('Part VII-Pro Forma'!$G$8="Yes",'Part VII-Pro Forma'!$G$9="Yes"),"Choose One!",IF('Part VII-Pro Forma'!$G$8="Yes",ROUND((-$K$8*(1+'Part VII-Pro Forma'!$B$6)^('Part VII-Pro Forma'!G77-1)),),IF('Part VII-Pro Forma'!$G$9="Yes",ROUND((-(SUM(G78:G81)*'Part VII-Pro Forma'!$K$9)),),"Choose mgt fee")))</f>
        <v>-50786</v>
      </c>
      <c r="H85" s="22">
        <f>IF(AND('Part VII-Pro Forma'!$G$8="Yes",'Part VII-Pro Forma'!$G$9="Yes"),"Choose One!",IF('Part VII-Pro Forma'!$G$8="Yes",ROUND((-$K$8*(1+'Part VII-Pro Forma'!$B$6)^('Part VII-Pro Forma'!H77-1)),),IF('Part VII-Pro Forma'!$G$9="Yes",ROUND((-(SUM(H78:H81)*'Part VII-Pro Forma'!$K$9)),),"Choose mgt fee")))</f>
        <v>-51802</v>
      </c>
      <c r="I85" s="22">
        <f>IF(AND('Part VII-Pro Forma'!$G$8="Yes",'Part VII-Pro Forma'!$G$9="Yes"),"Choose One!",IF('Part VII-Pro Forma'!$G$8="Yes",ROUND((-$K$8*(1+'Part VII-Pro Forma'!$B$6)^('Part VII-Pro Forma'!I77-1)),),IF('Part VII-Pro Forma'!$G$9="Yes",ROUND((-(SUM(I78:I81)*'Part VII-Pro Forma'!$K$9)),),"Choose mgt fee")))</f>
        <v>-52838</v>
      </c>
      <c r="J85" s="22">
        <f>IF(AND('Part VII-Pro Forma'!$G$8="Yes",'Part VII-Pro Forma'!$G$9="Yes"),"Choose One!",IF('Part VII-Pro Forma'!$G$8="Yes",ROUND((-$K$8*(1+'Part VII-Pro Forma'!$B$6)^('Part VII-Pro Forma'!J77-1)),),IF('Part VII-Pro Forma'!$G$9="Yes",ROUND((-(SUM(J78:J81)*'Part VII-Pro Forma'!$K$9)),),"Choose mgt fee")))</f>
        <v>-53895</v>
      </c>
      <c r="K85" s="23">
        <f>IF(AND('Part VII-Pro Forma'!$G$8="Yes",'Part VII-Pro Forma'!$G$9="Yes"),"Choose One!",IF('Part VII-Pro Forma'!$G$8="Yes",ROUND((-$K$8*(1+'Part VII-Pro Forma'!$B$6)^('Part VII-Pro Forma'!K77-1)),),IF('Part VII-Pro Forma'!$G$9="Yes",ROUND((-(SUM(K78:K81)*'Part VII-Pro Forma'!$K$9)),),"Choose mgt fee")))</f>
        <v>-54973</v>
      </c>
      <c r="N85" s="3325"/>
      <c r="O85" s="3327"/>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325"/>
      <c r="O86" s="3327"/>
      <c r="Q86" s="929">
        <v>10</v>
      </c>
      <c r="R86" s="1043">
        <f>-SUM(B92:K92)</f>
        <v>0</v>
      </c>
      <c r="S86" s="1043">
        <f>SUM(B93:K93)+R86</f>
        <v>0</v>
      </c>
    </row>
    <row r="87" spans="1:19" ht="13.35" customHeight="1">
      <c r="A87" s="417" t="s">
        <v>4376</v>
      </c>
      <c r="B87" s="2619">
        <f>IF(B77&lt;=+'Part VI-Revenues &amp; Expenses'!$N$250,-'Part VI-Revenues &amp; Expenses'!$K$250,0)</f>
        <v>0</v>
      </c>
      <c r="C87" s="2619">
        <f>IF(C77&lt;=+'Part VI-Revenues &amp; Expenses'!$N$250,-'Part VI-Revenues &amp; Expenses'!$K$250,0)</f>
        <v>0</v>
      </c>
      <c r="D87" s="2619">
        <f>IF(D77&lt;=+'Part VI-Revenues &amp; Expenses'!$N$250,-'Part VI-Revenues &amp; Expenses'!$K$250,0)</f>
        <v>0</v>
      </c>
      <c r="E87" s="2619">
        <f>IF(E77&lt;=+'Part VI-Revenues &amp; Expenses'!$N$250,-'Part VI-Revenues &amp; Expenses'!$K$250,0)</f>
        <v>0</v>
      </c>
      <c r="F87" s="2619">
        <f>IF(F77&lt;=+'Part VI-Revenues &amp; Expenses'!$N$250,-'Part VI-Revenues &amp; Expenses'!$K$250,0)</f>
        <v>0</v>
      </c>
      <c r="G87" s="2619">
        <f>IF(G77&lt;=+'Part VI-Revenues &amp; Expenses'!$N$250,-'Part VI-Revenues &amp; Expenses'!$K$250,0)</f>
        <v>0</v>
      </c>
      <c r="H87" s="2619">
        <f>IF(H77&lt;=+'Part VI-Revenues &amp; Expenses'!$N$250,-'Part VI-Revenues &amp; Expenses'!$K$250,0)</f>
        <v>0</v>
      </c>
      <c r="I87" s="2619">
        <f>IF(I77&lt;=+'Part VI-Revenues &amp; Expenses'!$N$250,-'Part VI-Revenues &amp; Expenses'!$K$250,0)</f>
        <v>0</v>
      </c>
      <c r="J87" s="2619">
        <f>IF(J77&lt;=+'Part VI-Revenues &amp; Expenses'!$N$250,-'Part VI-Revenues &amp; Expenses'!$K$250,0)</f>
        <v>0</v>
      </c>
      <c r="K87" s="2619">
        <f>IF(K77&lt;=+'Part VI-Revenues &amp; Expenses'!$N$250,-'Part VI-Revenues &amp; Expenses'!$K$250,0)</f>
        <v>0</v>
      </c>
      <c r="N87" s="3325"/>
      <c r="O87" s="3327"/>
    </row>
    <row r="88" spans="1:19" ht="13.35" customHeight="1">
      <c r="A88" s="21" t="s">
        <v>1177</v>
      </c>
      <c r="B88" s="22">
        <f t="shared" ref="B88:K88" si="39">SUM(B83:B87)</f>
        <v>52966.78618222657</v>
      </c>
      <c r="C88" s="22">
        <f t="shared" si="39"/>
        <v>49904.772801703744</v>
      </c>
      <c r="D88" s="22">
        <f t="shared" si="39"/>
        <v>46658.279280445298</v>
      </c>
      <c r="E88" s="22">
        <f t="shared" si="39"/>
        <v>43219.266819442841</v>
      </c>
      <c r="F88" s="22">
        <f t="shared" si="39"/>
        <v>39579.444567822269</v>
      </c>
      <c r="G88" s="22">
        <f t="shared" si="39"/>
        <v>35733.261243528788</v>
      </c>
      <c r="H88" s="22">
        <f t="shared" si="39"/>
        <v>31669.896486280028</v>
      </c>
      <c r="I88" s="22">
        <f t="shared" si="39"/>
        <v>27382.25193442266</v>
      </c>
      <c r="J88" s="22">
        <f t="shared" si="39"/>
        <v>22860.942017080757</v>
      </c>
      <c r="K88" s="1482">
        <f t="shared" si="39"/>
        <v>18097.284452710992</v>
      </c>
      <c r="N88" s="3325"/>
      <c r="O88" s="3327"/>
    </row>
    <row r="89" spans="1:19" ht="13.35" customHeight="1">
      <c r="A89" s="21" t="str">
        <f>$A57</f>
        <v>Mortgage A</v>
      </c>
      <c r="B89" s="2620">
        <f>IF('Part III-Sources of Funds'!$P$38="", 0,-'Part III-Sources of Funds'!$P$38)*0</f>
        <v>0</v>
      </c>
      <c r="C89" s="2620">
        <f>IF('Part III-Sources of Funds'!$P$38="", 0,-'Part III-Sources of Funds'!$P$38)*0</f>
        <v>0</v>
      </c>
      <c r="D89" s="2620">
        <f>IF('Part III-Sources of Funds'!$P$38="", 0,-'Part III-Sources of Funds'!$P$38)*0</f>
        <v>0</v>
      </c>
      <c r="E89" s="2620">
        <f>IF('Part III-Sources of Funds'!$P$38="", 0,-'Part III-Sources of Funds'!$P$38)*0</f>
        <v>0</v>
      </c>
      <c r="F89" s="2620">
        <f>IF('Part III-Sources of Funds'!$P$38="", 0,-'Part III-Sources of Funds'!$P$38)*0</f>
        <v>0</v>
      </c>
      <c r="G89" s="2620">
        <f>IF('Part III-Sources of Funds'!$P$38="", 0,-'Part III-Sources of Funds'!$P$38)*0</f>
        <v>0</v>
      </c>
      <c r="H89" s="2620">
        <f>IF('Part III-Sources of Funds'!$P$38="", 0,-'Part III-Sources of Funds'!$P$38)*0</f>
        <v>0</v>
      </c>
      <c r="I89" s="2620">
        <f>IF('Part III-Sources of Funds'!$P$38="", 0,-'Part III-Sources of Funds'!$P$38)*0</f>
        <v>0</v>
      </c>
      <c r="J89" s="2620">
        <f>IF('Part III-Sources of Funds'!$P$38="", 0,-'Part III-Sources of Funds'!$P$38)*0</f>
        <v>0</v>
      </c>
      <c r="K89" s="2620">
        <f>IF('Part III-Sources of Funds'!$P$38="", 0,-'Part III-Sources of Funds'!$P$38)*0</f>
        <v>0</v>
      </c>
      <c r="N89" s="3325"/>
      <c r="O89" s="3327"/>
    </row>
    <row r="90" spans="1:19" ht="13.35" customHeight="1">
      <c r="A90" s="21" t="str">
        <f>$A58</f>
        <v>Mortgage B</v>
      </c>
      <c r="B90" s="2621">
        <f>IF('Part III-Sources of Funds'!$P$39="", 0,-'Part III-Sources of Funds'!$P$39)</f>
        <v>0</v>
      </c>
      <c r="C90" s="2621">
        <f>IF('Part III-Sources of Funds'!$P$39="", 0,-'Part III-Sources of Funds'!$P$39)</f>
        <v>0</v>
      </c>
      <c r="D90" s="2621">
        <f>IF('Part III-Sources of Funds'!$P$39="", 0,-'Part III-Sources of Funds'!$P$39)</f>
        <v>0</v>
      </c>
      <c r="E90" s="2621">
        <f>IF('Part III-Sources of Funds'!$P$39="", 0,-'Part III-Sources of Funds'!$P$39)</f>
        <v>0</v>
      </c>
      <c r="F90" s="2621">
        <f>IF('Part III-Sources of Funds'!$P$39="", 0,-'Part III-Sources of Funds'!$P$39)</f>
        <v>0</v>
      </c>
      <c r="G90" s="2621">
        <f>IF('Part III-Sources of Funds'!$P$39="", 0,-'Part III-Sources of Funds'!$P$39)</f>
        <v>0</v>
      </c>
      <c r="H90" s="2621">
        <f>IF('Part III-Sources of Funds'!$P$39="", 0,-'Part III-Sources of Funds'!$P$39)</f>
        <v>0</v>
      </c>
      <c r="I90" s="2621">
        <f>IF('Part III-Sources of Funds'!$P$39="", 0,-'Part III-Sources of Funds'!$P$39)</f>
        <v>0</v>
      </c>
      <c r="J90" s="2621">
        <f>IF('Part III-Sources of Funds'!$P$39="", 0,-'Part III-Sources of Funds'!$P$39)</f>
        <v>0</v>
      </c>
      <c r="K90" s="2621">
        <f>IF('Part III-Sources of Funds'!$P$39="", 0,-'Part III-Sources of Funds'!$P$39)</f>
        <v>0</v>
      </c>
      <c r="N90" s="3325"/>
      <c r="O90" s="3327"/>
    </row>
    <row r="91" spans="1:19" ht="13.35" customHeight="1">
      <c r="A91" s="21" t="str">
        <f>$A59</f>
        <v>Mortgage C</v>
      </c>
      <c r="B91" s="2621">
        <f>IF('Part III-Sources of Funds'!$P$40="", 0,-'Part III-Sources of Funds'!$P$40)</f>
        <v>0</v>
      </c>
      <c r="C91" s="2621">
        <f>IF('Part III-Sources of Funds'!$P$40="", 0,-'Part III-Sources of Funds'!$P$40)</f>
        <v>0</v>
      </c>
      <c r="D91" s="2621">
        <f>IF('Part III-Sources of Funds'!$P$40="", 0,-'Part III-Sources of Funds'!$P$40)</f>
        <v>0</v>
      </c>
      <c r="E91" s="2621">
        <f>IF('Part III-Sources of Funds'!$P$40="", 0,-'Part III-Sources of Funds'!$P$40)</f>
        <v>0</v>
      </c>
      <c r="F91" s="2621">
        <f>IF('Part III-Sources of Funds'!$P$40="", 0,-'Part III-Sources of Funds'!$P$40)</f>
        <v>0</v>
      </c>
      <c r="G91" s="2621">
        <f>IF('Part III-Sources of Funds'!$P$40="", 0,-'Part III-Sources of Funds'!$P$40)</f>
        <v>0</v>
      </c>
      <c r="H91" s="2621">
        <f>IF('Part III-Sources of Funds'!$P$40="", 0,-'Part III-Sources of Funds'!$P$40)</f>
        <v>0</v>
      </c>
      <c r="I91" s="2621">
        <f>IF('Part III-Sources of Funds'!$P$40="", 0,-'Part III-Sources of Funds'!$P$40)</f>
        <v>0</v>
      </c>
      <c r="J91" s="2621">
        <f>IF('Part III-Sources of Funds'!$P$40="", 0,-'Part III-Sources of Funds'!$P$40)</f>
        <v>0</v>
      </c>
      <c r="K91" s="2621">
        <f>IF('Part III-Sources of Funds'!$P$40="", 0,-'Part III-Sources of Funds'!$P$40)</f>
        <v>0</v>
      </c>
      <c r="N91" s="3325"/>
      <c r="O91" s="3327"/>
    </row>
    <row r="92" spans="1:19" ht="13.35" customHeight="1">
      <c r="A92" s="21" t="str">
        <f>$A60</f>
        <v>D/S Other Source,not DDF</v>
      </c>
      <c r="B92" s="2621">
        <f>IF('Part III-Sources of Funds'!$P$41="", 0,-'Part III-Sources of Funds'!$P$41)</f>
        <v>0</v>
      </c>
      <c r="C92" s="2621">
        <f>IF('Part III-Sources of Funds'!$P$41="", 0,-'Part III-Sources of Funds'!$P$41)</f>
        <v>0</v>
      </c>
      <c r="D92" s="2621">
        <f>IF('Part III-Sources of Funds'!$P$41="", 0,-'Part III-Sources of Funds'!$P$41)</f>
        <v>0</v>
      </c>
      <c r="E92" s="2621">
        <f>IF('Part III-Sources of Funds'!$P$41="", 0,-'Part III-Sources of Funds'!$P$41)</f>
        <v>0</v>
      </c>
      <c r="F92" s="2621">
        <f>IF('Part III-Sources of Funds'!$P$41="", 0,-'Part III-Sources of Funds'!$P$41)</f>
        <v>0</v>
      </c>
      <c r="G92" s="2621">
        <f>IF('Part III-Sources of Funds'!$P$41="", 0,-'Part III-Sources of Funds'!$P$41)</f>
        <v>0</v>
      </c>
      <c r="H92" s="2621">
        <f>IF('Part III-Sources of Funds'!$P$41="", 0,-'Part III-Sources of Funds'!$P$41)</f>
        <v>0</v>
      </c>
      <c r="I92" s="2621">
        <f>IF('Part III-Sources of Funds'!$P$41="", 0,-'Part III-Sources of Funds'!$P$41)</f>
        <v>0</v>
      </c>
      <c r="J92" s="2621">
        <f>IF('Part III-Sources of Funds'!$P$41="", 0,-'Part III-Sources of Funds'!$P$41)</f>
        <v>0</v>
      </c>
      <c r="K92" s="2621">
        <f>IF('Part III-Sources of Funds'!$P$41="", 0,-'Part III-Sources of Funds'!$P$41)</f>
        <v>0</v>
      </c>
      <c r="N92" s="3325"/>
      <c r="O92" s="3327"/>
    </row>
    <row r="93" spans="1:19" ht="13.35" customHeight="1">
      <c r="A93" s="21" t="s">
        <v>745</v>
      </c>
      <c r="B93" s="2622"/>
      <c r="C93" s="2622"/>
      <c r="D93" s="2622"/>
      <c r="E93" s="2622"/>
      <c r="F93" s="2622"/>
      <c r="G93" s="2622"/>
      <c r="H93" s="2622"/>
      <c r="I93" s="2622"/>
      <c r="J93" s="2622"/>
      <c r="K93" s="2622"/>
      <c r="N93" s="3325"/>
      <c r="O93" s="3327"/>
    </row>
    <row r="94" spans="1:19" ht="13.35" customHeight="1">
      <c r="A94" s="417" t="s">
        <v>1141</v>
      </c>
      <c r="B94" s="2624">
        <f>+K62*0</f>
        <v>0</v>
      </c>
      <c r="C94" s="2624">
        <f t="shared" ref="C94:K94" si="40">+B94</f>
        <v>0</v>
      </c>
      <c r="D94" s="2624">
        <f t="shared" si="40"/>
        <v>0</v>
      </c>
      <c r="E94" s="2624">
        <f t="shared" si="40"/>
        <v>0</v>
      </c>
      <c r="F94" s="2624">
        <f t="shared" si="40"/>
        <v>0</v>
      </c>
      <c r="G94" s="2624">
        <f t="shared" si="40"/>
        <v>0</v>
      </c>
      <c r="H94" s="2624">
        <f t="shared" si="40"/>
        <v>0</v>
      </c>
      <c r="I94" s="2624">
        <f t="shared" si="40"/>
        <v>0</v>
      </c>
      <c r="J94" s="2624">
        <f t="shared" si="40"/>
        <v>0</v>
      </c>
      <c r="K94" s="2624">
        <f t="shared" si="40"/>
        <v>0</v>
      </c>
      <c r="N94" s="3325"/>
      <c r="O94" s="3327"/>
    </row>
    <row r="95" spans="1:19" ht="13.35" customHeight="1">
      <c r="A95" s="21" t="s">
        <v>1142</v>
      </c>
      <c r="B95" s="22">
        <f t="shared" ref="B95:K95" si="41">SUM(B88:B94)</f>
        <v>52966.78618222657</v>
      </c>
      <c r="C95" s="22">
        <f t="shared" si="41"/>
        <v>49904.772801703744</v>
      </c>
      <c r="D95" s="22">
        <f t="shared" si="41"/>
        <v>46658.279280445298</v>
      </c>
      <c r="E95" s="22">
        <f t="shared" si="41"/>
        <v>43219.266819442841</v>
      </c>
      <c r="F95" s="22">
        <f t="shared" si="41"/>
        <v>39579.444567822269</v>
      </c>
      <c r="G95" s="22">
        <f t="shared" si="41"/>
        <v>35733.261243528788</v>
      </c>
      <c r="H95" s="22">
        <f t="shared" si="41"/>
        <v>31669.896486280028</v>
      </c>
      <c r="I95" s="22">
        <f t="shared" si="41"/>
        <v>27382.25193442266</v>
      </c>
      <c r="J95" s="22">
        <f t="shared" si="41"/>
        <v>22860.942017080757</v>
      </c>
      <c r="K95" s="23">
        <f t="shared" si="41"/>
        <v>18097.284452710992</v>
      </c>
      <c r="N95" s="3325"/>
      <c r="O95" s="3327"/>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25"/>
      <c r="O96" s="332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25"/>
      <c r="O97" s="332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25"/>
      <c r="O98" s="332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25"/>
      <c r="O99" s="3327"/>
    </row>
    <row r="100" spans="1:15" ht="13.35" customHeight="1">
      <c r="A100" s="417" t="s">
        <v>3533</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25"/>
      <c r="O100" s="3327"/>
    </row>
    <row r="101" spans="1:15" ht="13.35" customHeight="1">
      <c r="A101" s="21" t="s">
        <v>752</v>
      </c>
      <c r="B101" s="265">
        <f>IF(OR(B85="Choose mgt fee",B85="Choose One!"),"",(B78+B79+B80+B81+B82) / -(B84+B85+B86))</f>
        <v>1.1156147061095238</v>
      </c>
      <c r="C101" s="265">
        <f t="shared" ref="C101:K101" si="47">IF(OR(C85="Choose mgt fee",C85="Choose One!"),"",(C78+C79+C80+C81+C82) / -(C84+C85+C86))</f>
        <v>1.1058614549108101</v>
      </c>
      <c r="D101" s="265">
        <f t="shared" si="47"/>
        <v>1.0961850259831087</v>
      </c>
      <c r="E101" s="265">
        <f t="shared" si="47"/>
        <v>1.0865835162127482</v>
      </c>
      <c r="F101" s="265">
        <f t="shared" si="47"/>
        <v>1.0770552467537771</v>
      </c>
      <c r="G101" s="265">
        <f t="shared" si="47"/>
        <v>1.0676048012706396</v>
      </c>
      <c r="H101" s="265">
        <f t="shared" si="47"/>
        <v>1.0582263279530324</v>
      </c>
      <c r="I101" s="265">
        <f t="shared" si="47"/>
        <v>1.048922257259403</v>
      </c>
      <c r="J101" s="265">
        <f t="shared" si="47"/>
        <v>1.0396910207373409</v>
      </c>
      <c r="K101" s="266">
        <f t="shared" si="47"/>
        <v>1.0305329651590394</v>
      </c>
      <c r="N101" s="3325"/>
      <c r="O101" s="3327"/>
    </row>
    <row r="102" spans="1:15" ht="13.35" customHeight="1">
      <c r="A102" s="417" t="s">
        <v>2550</v>
      </c>
      <c r="B102" s="2625">
        <f>IF('Part III-Sources of Funds'!$I$38="","",-FV('Part III-Sources of Funds'!$K$38/12,12,B89/12,K71))</f>
        <v>-4.8466337905495066E-8</v>
      </c>
      <c r="C102" s="2625">
        <f>IF('Part III-Sources of Funds'!$I$38="","",-FV('Part III-Sources of Funds'!$K$38/12,12,C89/12,B102))</f>
        <v>-4.9026647963085675E-8</v>
      </c>
      <c r="D102" s="2625">
        <f>IF('Part III-Sources of Funds'!$I$38="","",-FV('Part III-Sources of Funds'!$K$38/12,12,D89/12,C102))</f>
        <v>-4.9593435658026342E-8</v>
      </c>
      <c r="E102" s="2625">
        <f>IF('Part III-Sources of Funds'!$I$38="","",-FV('Part III-Sources of Funds'!$K$38/12,12,E89/12,D102))</f>
        <v>-5.0166775877042854E-8</v>
      </c>
      <c r="F102" s="2625">
        <f>IF('Part III-Sources of Funds'!$I$38="","",-FV('Part III-Sources of Funds'!$K$38/12,12,F89/12,E102))</f>
        <v>-5.0746744372612105E-8</v>
      </c>
      <c r="G102" s="2625">
        <f>IF('Part III-Sources of Funds'!$I$38="","",-FV('Part III-Sources of Funds'!$K$38/12,12,G89/12,F102))</f>
        <v>-5.1333417772970879E-8</v>
      </c>
      <c r="H102" s="2625">
        <f>IF('Part III-Sources of Funds'!$I$38="","",-FV('Part III-Sources of Funds'!$K$38/12,12,H89/12,G102))</f>
        <v>-5.1926873592240343E-8</v>
      </c>
      <c r="I102" s="2625">
        <f>IF('Part III-Sources of Funds'!$I$38="","",-FV('Part III-Sources of Funds'!$K$38/12,12,I89/12,H102))</f>
        <v>-5.2527190240667576E-8</v>
      </c>
      <c r="J102" s="2625">
        <f>IF('Part III-Sources of Funds'!$I$38="","",-FV('Part III-Sources of Funds'!$K$38/12,12,J89/12,I102))</f>
        <v>-5.3134447034985523E-8</v>
      </c>
      <c r="K102" s="2625">
        <f>IF('Part III-Sources of Funds'!$I$38="","",-FV('Part III-Sources of Funds'!$K$38/12,12,K89/12,J102))</f>
        <v>-5.3748724208892703E-8</v>
      </c>
      <c r="N102" s="3325"/>
      <c r="O102" s="3327"/>
    </row>
    <row r="103" spans="1:15" ht="13.35" customHeight="1">
      <c r="A103" s="417" t="s">
        <v>2551</v>
      </c>
      <c r="B103" s="2621" t="str">
        <f>IF('Part III-Sources of Funds'!$I$39="","",-FV('Part III-Sources of Funds'!$K$39/12,12,B90/12,K72))</f>
        <v/>
      </c>
      <c r="C103" s="2621" t="str">
        <f>IF('Part III-Sources of Funds'!$I$39="","",-FV('Part III-Sources of Funds'!$K$39/12,12,C90/12,B103))</f>
        <v/>
      </c>
      <c r="D103" s="2621" t="str">
        <f>IF('Part III-Sources of Funds'!$I$39="","",-FV('Part III-Sources of Funds'!$K$39/12,12,D90/12,C103))</f>
        <v/>
      </c>
      <c r="E103" s="2621" t="str">
        <f>IF('Part III-Sources of Funds'!$I$39="","",-FV('Part III-Sources of Funds'!$K$39/12,12,E90/12,D103))</f>
        <v/>
      </c>
      <c r="F103" s="2621" t="str">
        <f>IF('Part III-Sources of Funds'!$I$39="","",-FV('Part III-Sources of Funds'!$K$39/12,12,F90/12,E103))</f>
        <v/>
      </c>
      <c r="G103" s="2621" t="str">
        <f>IF('Part III-Sources of Funds'!$I$39="","",-FV('Part III-Sources of Funds'!$K$39/12,12,G90/12,F103))</f>
        <v/>
      </c>
      <c r="H103" s="2621" t="str">
        <f>IF('Part III-Sources of Funds'!$I$39="","",-FV('Part III-Sources of Funds'!$K$39/12,12,H90/12,G103))</f>
        <v/>
      </c>
      <c r="I103" s="2621" t="str">
        <f>IF('Part III-Sources of Funds'!$I$39="","",-FV('Part III-Sources of Funds'!$K$39/12,12,I90/12,H103))</f>
        <v/>
      </c>
      <c r="J103" s="2621" t="str">
        <f>IF('Part III-Sources of Funds'!$I$39="","",-FV('Part III-Sources of Funds'!$K$39/12,12,J90/12,I103))</f>
        <v/>
      </c>
      <c r="K103" s="2621" t="str">
        <f>IF('Part III-Sources of Funds'!$I$39="","",-FV('Part III-Sources of Funds'!$K$39/12,12,K90/12,J103))</f>
        <v/>
      </c>
      <c r="N103" s="3325"/>
      <c r="O103" s="3327"/>
    </row>
    <row r="104" spans="1:15" ht="13.35" customHeight="1">
      <c r="A104" s="417" t="s">
        <v>2552</v>
      </c>
      <c r="B104" s="2621" t="str">
        <f>IF('Part III-Sources of Funds'!$I$40="","",-FV('Part III-Sources of Funds'!$K$40/12,12,B91/12,K73))</f>
        <v/>
      </c>
      <c r="C104" s="2621" t="str">
        <f>IF('Part III-Sources of Funds'!$I$40="","",-FV('Part III-Sources of Funds'!$K$40/12,12,C91/12,B104))</f>
        <v/>
      </c>
      <c r="D104" s="2621" t="str">
        <f>IF('Part III-Sources of Funds'!$I$40="","",-FV('Part III-Sources of Funds'!$K$40/12,12,D91/12,C104))</f>
        <v/>
      </c>
      <c r="E104" s="2621" t="str">
        <f>IF('Part III-Sources of Funds'!$I$40="","",-FV('Part III-Sources of Funds'!$K$40/12,12,E91/12,D104))</f>
        <v/>
      </c>
      <c r="F104" s="2621" t="str">
        <f>IF('Part III-Sources of Funds'!$I$40="","",-FV('Part III-Sources of Funds'!$K$40/12,12,F91/12,E104))</f>
        <v/>
      </c>
      <c r="G104" s="2621" t="str">
        <f>IF('Part III-Sources of Funds'!$I$40="","",-FV('Part III-Sources of Funds'!$K$40/12,12,G91/12,F104))</f>
        <v/>
      </c>
      <c r="H104" s="2621" t="str">
        <f>IF('Part III-Sources of Funds'!$I$40="","",-FV('Part III-Sources of Funds'!$K$40/12,12,H91/12,G104))</f>
        <v/>
      </c>
      <c r="I104" s="2621" t="str">
        <f>IF('Part III-Sources of Funds'!$I$40="","",-FV('Part III-Sources of Funds'!$K$40/12,12,I91/12,H104))</f>
        <v/>
      </c>
      <c r="J104" s="2621" t="str">
        <f>IF('Part III-Sources of Funds'!$I$40="","",-FV('Part III-Sources of Funds'!$K$40/12,12,J91/12,I104))</f>
        <v/>
      </c>
      <c r="K104" s="2621" t="str">
        <f>IF('Part III-Sources of Funds'!$I$40="","",-FV('Part III-Sources of Funds'!$K$40/12,12,K91/12,J104))</f>
        <v/>
      </c>
      <c r="N104" s="3325"/>
      <c r="O104" s="3327"/>
    </row>
    <row r="105" spans="1:15" ht="13.35" customHeight="1">
      <c r="A105" s="21" t="s">
        <v>764</v>
      </c>
      <c r="B105" s="2624" t="str">
        <f>IF('Part III-Sources of Funds'!$I$41="","",-FV('Part III-Sources of Funds'!$K$41/12,12,B92/12,K74))</f>
        <v/>
      </c>
      <c r="C105" s="2624" t="str">
        <f>IF('Part III-Sources of Funds'!$I$41="","",-FV('Part III-Sources of Funds'!$K$41/12,12,C92/12,B105))</f>
        <v/>
      </c>
      <c r="D105" s="2624" t="str">
        <f>IF('Part III-Sources of Funds'!$I$41="","",-FV('Part III-Sources of Funds'!$K$41/12,12,D92/12,C105))</f>
        <v/>
      </c>
      <c r="E105" s="2624" t="str">
        <f>IF('Part III-Sources of Funds'!$I$41="","",-FV('Part III-Sources of Funds'!$K$41/12,12,E92/12,D105))</f>
        <v/>
      </c>
      <c r="F105" s="2624" t="str">
        <f>IF('Part III-Sources of Funds'!$I$41="","",-FV('Part III-Sources of Funds'!$K$41/12,12,F92/12,E105))</f>
        <v/>
      </c>
      <c r="G105" s="2624" t="str">
        <f>IF('Part III-Sources of Funds'!$I$41="","",-FV('Part III-Sources of Funds'!$K$41/12,12,G92/12,F105))</f>
        <v/>
      </c>
      <c r="H105" s="2624" t="str">
        <f>IF('Part III-Sources of Funds'!$I$41="","",-FV('Part III-Sources of Funds'!$K$41/12,12,H92/12,G105))</f>
        <v/>
      </c>
      <c r="I105" s="2624" t="str">
        <f>IF('Part III-Sources of Funds'!$I$41="","",-FV('Part III-Sources of Funds'!$K$41/12,12,I92/12,H105))</f>
        <v/>
      </c>
      <c r="J105" s="2624" t="str">
        <f>IF('Part III-Sources of Funds'!$I$41="","",-FV('Part III-Sources of Funds'!$K$41/12,12,J92/12,I105))</f>
        <v/>
      </c>
      <c r="K105" s="2624" t="str">
        <f>IF('Part III-Sources of Funds'!$I$41="","",-FV('Part III-Sources of Funds'!$K$41/12,12,K92/12,J105))</f>
        <v/>
      </c>
      <c r="N105" s="3337"/>
      <c r="O105" s="3339"/>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975" t="s">
        <v>3524</v>
      </c>
      <c r="O107" s="2975"/>
    </row>
    <row r="108" spans="1:15" ht="13.35" customHeight="1">
      <c r="A108" s="18" t="s">
        <v>2342</v>
      </c>
      <c r="B108" s="19">
        <f>$B$14*(1+$B$5)^(B107-1)</f>
        <v>656785.21950320317</v>
      </c>
      <c r="C108" s="19">
        <f>$B$14*(1+$B$5)^(C107-1)</f>
        <v>669920.92389326706</v>
      </c>
      <c r="D108" s="19">
        <f>$B$14*(1+$B$5)^(D107-1)</f>
        <v>683319.34237113257</v>
      </c>
      <c r="E108" s="19">
        <f>$B$14*(1+$B$5)^(E107-1)</f>
        <v>696985.72921855527</v>
      </c>
      <c r="F108" s="596">
        <f>$B$14*(1+$B$5)^(F107-1)</f>
        <v>710925.44380292622</v>
      </c>
      <c r="G108" s="17"/>
      <c r="H108" s="17"/>
      <c r="I108" s="17"/>
      <c r="J108" s="17"/>
      <c r="K108" s="17"/>
      <c r="N108" s="3344"/>
      <c r="O108" s="3346"/>
    </row>
    <row r="109" spans="1:15" ht="13.35" customHeight="1">
      <c r="A109" s="21" t="s">
        <v>994</v>
      </c>
      <c r="B109" s="22">
        <f>$B$15*(1+$B$5)^(B107-1)</f>
        <v>13135.704390064064</v>
      </c>
      <c r="C109" s="22">
        <f>$B$15*(1+$B$5)^(C107-1)</f>
        <v>13398.418477865342</v>
      </c>
      <c r="D109" s="22">
        <f>$B$15*(1+$B$5)^(D107-1)</f>
        <v>13666.386847422651</v>
      </c>
      <c r="E109" s="22">
        <f>$B$15*(1+$B$5)^(E107-1)</f>
        <v>13939.714584371104</v>
      </c>
      <c r="F109" s="23">
        <f>$B$15*(1+$B$5)^(F107-1)</f>
        <v>14218.508876058526</v>
      </c>
      <c r="G109" s="17"/>
      <c r="H109" s="17"/>
      <c r="I109" s="17"/>
      <c r="J109" s="17"/>
      <c r="K109" s="17"/>
      <c r="N109" s="3325"/>
      <c r="O109" s="3327"/>
    </row>
    <row r="110" spans="1:15" ht="13.35" customHeight="1">
      <c r="A110" s="21" t="s">
        <v>2343</v>
      </c>
      <c r="B110" s="22">
        <f>-(B108+B109)*$B$8</f>
        <v>-46894.464672528717</v>
      </c>
      <c r="C110" s="22">
        <f>-(C108+C109)*$B$8</f>
        <v>-47832.353965979266</v>
      </c>
      <c r="D110" s="22">
        <f>-(D108+D109)*$B$8</f>
        <v>-48789.001045298872</v>
      </c>
      <c r="E110" s="22">
        <f>-(E108+E109)*$B$8</f>
        <v>-49764.781066204851</v>
      </c>
      <c r="F110" s="23">
        <f>-(F108+F109)*$B$8</f>
        <v>-50760.076687528934</v>
      </c>
      <c r="G110" s="17"/>
      <c r="H110" s="17"/>
      <c r="I110" s="17"/>
      <c r="J110" s="17"/>
      <c r="K110" s="17"/>
      <c r="N110" s="3325"/>
      <c r="O110" s="332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5"/>
      <c r="O111" s="332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5"/>
      <c r="O112" s="3327"/>
    </row>
    <row r="113" spans="1:19" ht="13.35" customHeight="1">
      <c r="A113" s="417" t="s">
        <v>4377</v>
      </c>
      <c r="B113" s="22">
        <f>SUM(B108:B112)</f>
        <v>623026.45922073862</v>
      </c>
      <c r="C113" s="22">
        <f>SUM(C108:C112)</f>
        <v>635486.98840515304</v>
      </c>
      <c r="D113" s="22">
        <f>SUM(D108:D112)</f>
        <v>648196.72817325639</v>
      </c>
      <c r="E113" s="22">
        <f>SUM(E108:E112)</f>
        <v>661160.66273672145</v>
      </c>
      <c r="F113" s="23">
        <f>SUM(F108:F112)</f>
        <v>674383.87599145574</v>
      </c>
      <c r="G113" s="17"/>
      <c r="H113" s="17"/>
      <c r="I113" s="17"/>
      <c r="J113" s="17"/>
      <c r="K113" s="17"/>
      <c r="N113" s="3325"/>
      <c r="O113" s="3327"/>
    </row>
    <row r="114" spans="1:19" ht="13.35" customHeight="1">
      <c r="A114" s="21" t="s">
        <v>597</v>
      </c>
      <c r="B114" s="22">
        <f>$B$20*(1+$B$6)^(B107-1)</f>
        <v>-517463.23170798103</v>
      </c>
      <c r="C114" s="22">
        <f>$B$20*(1+$B$6)^(C107-1)</f>
        <v>-532987.12865922053</v>
      </c>
      <c r="D114" s="22">
        <f>$B$20*(1+$B$6)^(D107-1)</f>
        <v>-548976.74251899705</v>
      </c>
      <c r="E114" s="22">
        <f>$B$20*(1+$B$6)^(E107-1)</f>
        <v>-565446.04479456705</v>
      </c>
      <c r="F114" s="23">
        <f>$B$20*(1+$B$6)^(F107-1)</f>
        <v>-582409.42613840394</v>
      </c>
      <c r="G114" s="17"/>
      <c r="H114" s="17"/>
      <c r="I114" s="17"/>
      <c r="J114" s="17"/>
      <c r="K114" s="17"/>
      <c r="N114" s="3325"/>
      <c r="O114" s="332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-56072</v>
      </c>
      <c r="C115" s="22">
        <f>IF(AND('Part VII-Pro Forma'!$G$8="Yes",'Part VII-Pro Forma'!$G$9="Yes"),"Choose One!",IF('Part VII-Pro Forma'!$G$8="Yes",ROUND((-$K$8*(1+'Part VII-Pro Forma'!$B$6)^('Part VII-Pro Forma'!C107-1)),),IF('Part VII-Pro Forma'!$G$9="Yes",ROUND((-(SUM(C108:C111)*'Part VII-Pro Forma'!$K$9)),),"Choose mgt fee")))</f>
        <v>-57194</v>
      </c>
      <c r="D115" s="22">
        <f>IF(AND('Part VII-Pro Forma'!$G$8="Yes",'Part VII-Pro Forma'!$G$9="Yes"),"Choose One!",IF('Part VII-Pro Forma'!$G$8="Yes",ROUND((-$K$8*(1+'Part VII-Pro Forma'!$B$6)^('Part VII-Pro Forma'!D107-1)),),IF('Part VII-Pro Forma'!$G$9="Yes",ROUND((-(SUM(D108:D111)*'Part VII-Pro Forma'!$K$9)),),"Choose mgt fee")))</f>
        <v>-58338</v>
      </c>
      <c r="E115" s="22">
        <f>IF(AND('Part VII-Pro Forma'!$G$8="Yes",'Part VII-Pro Forma'!$G$9="Yes"),"Choose One!",IF('Part VII-Pro Forma'!$G$8="Yes",ROUND((-$K$8*(1+'Part VII-Pro Forma'!$B$6)^('Part VII-Pro Forma'!E107-1)),),IF('Part VII-Pro Forma'!$G$9="Yes",ROUND((-(SUM(E108:E111)*'Part VII-Pro Forma'!$K$9)),),"Choose mgt fee")))</f>
        <v>-59504</v>
      </c>
      <c r="F115" s="23">
        <f>IF(AND('Part VII-Pro Forma'!$G$8="Yes",'Part VII-Pro Forma'!$G$9="Yes"),"Choose One!",IF('Part VII-Pro Forma'!$G$8="Yes",ROUND((-$K$8*(1+'Part VII-Pro Forma'!$B$6)^('Part VII-Pro Forma'!F107-1)),),IF('Part VII-Pro Forma'!$G$9="Yes",ROUND((-(SUM(F108:F111)*'Part VII-Pro Forma'!$K$9)),),"Choose mgt fee")))</f>
        <v>-60695</v>
      </c>
      <c r="G115" s="17"/>
      <c r="H115" s="17"/>
      <c r="I115" s="17"/>
      <c r="J115" s="17"/>
      <c r="K115" s="17"/>
      <c r="N115" s="3325"/>
      <c r="O115" s="3327"/>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25"/>
      <c r="O116" s="3327"/>
      <c r="Q116" s="929">
        <v>10</v>
      </c>
      <c r="R116" s="1043">
        <f>-SUM(B122:K122)</f>
        <v>0</v>
      </c>
      <c r="S116" s="1043">
        <f>SUM(B123:K123)+R116</f>
        <v>0</v>
      </c>
    </row>
    <row r="117" spans="1:19" ht="13.35" customHeight="1">
      <c r="A117" s="417" t="s">
        <v>4376</v>
      </c>
      <c r="B117" s="2619">
        <f>IF(B107&lt;=+'Part VI-Revenues &amp; Expenses'!$N$250,-'Part VI-Revenues &amp; Expenses'!$K$250,0)</f>
        <v>0</v>
      </c>
      <c r="C117" s="2619">
        <f>IF(C107&lt;=+'Part VI-Revenues &amp; Expenses'!$N$250,-'Part VI-Revenues &amp; Expenses'!$K$250,0)</f>
        <v>0</v>
      </c>
      <c r="D117" s="2619">
        <f>IF(D107&lt;=+'Part VI-Revenues &amp; Expenses'!$N$250,-'Part VI-Revenues &amp; Expenses'!$K$250,0)</f>
        <v>0</v>
      </c>
      <c r="E117" s="2619">
        <f>IF(E107&lt;=+'Part VI-Revenues &amp; Expenses'!$N$250,-'Part VI-Revenues &amp; Expenses'!$K$250,0)</f>
        <v>0</v>
      </c>
      <c r="F117" s="2619">
        <f>IF(F107&lt;=+'Part VI-Revenues &amp; Expenses'!$N$250,-'Part VI-Revenues &amp; Expenses'!$K$250,0)</f>
        <v>0</v>
      </c>
      <c r="G117" s="17"/>
      <c r="H117" s="17"/>
      <c r="I117" s="17"/>
      <c r="J117" s="17"/>
      <c r="K117" s="17"/>
      <c r="N117" s="3325"/>
      <c r="O117" s="3327"/>
    </row>
    <row r="118" spans="1:19" ht="13.35" customHeight="1">
      <c r="A118" s="21" t="s">
        <v>1177</v>
      </c>
      <c r="B118" s="22">
        <f>SUM(B113:B117)</f>
        <v>13082.290444912702</v>
      </c>
      <c r="C118" s="22">
        <f>SUM(C113:C117)</f>
        <v>7804.6545660522679</v>
      </c>
      <c r="D118" s="22">
        <f>SUM(D113:D117)</f>
        <v>2255.7443189826954</v>
      </c>
      <c r="E118" s="22">
        <f>SUM(E113:E117)</f>
        <v>-3574.4106331805306</v>
      </c>
      <c r="F118" s="1482">
        <f>SUM(F113:F117)</f>
        <v>-9699.1295795431797</v>
      </c>
      <c r="G118" s="17"/>
      <c r="H118" s="17"/>
      <c r="I118" s="17"/>
      <c r="J118" s="17"/>
      <c r="K118" s="17"/>
      <c r="N118" s="3325"/>
      <c r="O118" s="3327"/>
    </row>
    <row r="119" spans="1:19" ht="13.35" customHeight="1">
      <c r="A119" s="21" t="str">
        <f>$A89</f>
        <v>Mortgage A</v>
      </c>
      <c r="B119" s="2620">
        <f>IF('Part III-Sources of Funds'!$P$38="", 0,-'Part III-Sources of Funds'!$P$38)*0</f>
        <v>0</v>
      </c>
      <c r="C119" s="2620">
        <f>IF('Part III-Sources of Funds'!$P$38="", 0,-'Part III-Sources of Funds'!$P$38)*0</f>
        <v>0</v>
      </c>
      <c r="D119" s="2620">
        <f>IF('Part III-Sources of Funds'!$P$38="", 0,-'Part III-Sources of Funds'!$P$38)*0</f>
        <v>0</v>
      </c>
      <c r="E119" s="2620">
        <f>IF('Part III-Sources of Funds'!$P$38="", 0,-'Part III-Sources of Funds'!$P$38)*0</f>
        <v>0</v>
      </c>
      <c r="F119" s="2620">
        <f>IF('Part III-Sources of Funds'!$P$38="", 0,-'Part III-Sources of Funds'!$P$38)*0</f>
        <v>0</v>
      </c>
      <c r="G119" s="17"/>
      <c r="H119" s="17"/>
      <c r="I119" s="17"/>
      <c r="J119" s="17"/>
      <c r="K119" s="17"/>
      <c r="N119" s="3325"/>
      <c r="O119" s="3327"/>
    </row>
    <row r="120" spans="1:19" ht="13.35" customHeight="1">
      <c r="A120" s="21" t="str">
        <f>$A90</f>
        <v>Mortgage B</v>
      </c>
      <c r="B120" s="2621">
        <f>IF('Part III-Sources of Funds'!$P$39="", 0,-'Part III-Sources of Funds'!$P$39)</f>
        <v>0</v>
      </c>
      <c r="C120" s="2621">
        <f>IF('Part III-Sources of Funds'!$P$39="", 0,-'Part III-Sources of Funds'!$P$39)</f>
        <v>0</v>
      </c>
      <c r="D120" s="2621">
        <f>IF('Part III-Sources of Funds'!$P$39="", 0,-'Part III-Sources of Funds'!$P$39)</f>
        <v>0</v>
      </c>
      <c r="E120" s="2621">
        <f>IF('Part III-Sources of Funds'!$P$39="", 0,-'Part III-Sources of Funds'!$P$39)</f>
        <v>0</v>
      </c>
      <c r="F120" s="2621">
        <f>IF('Part III-Sources of Funds'!$P$39="", 0,-'Part III-Sources of Funds'!$P$39)</f>
        <v>0</v>
      </c>
      <c r="G120" s="17"/>
      <c r="H120" s="17"/>
      <c r="I120" s="17"/>
      <c r="J120" s="17"/>
      <c r="K120" s="17"/>
      <c r="N120" s="3325"/>
      <c r="O120" s="3327"/>
    </row>
    <row r="121" spans="1:19" ht="13.35" customHeight="1">
      <c r="A121" s="21" t="str">
        <f>$A91</f>
        <v>Mortgage C</v>
      </c>
      <c r="B121" s="2621">
        <f>IF('Part III-Sources of Funds'!$P$40="", 0,-'Part III-Sources of Funds'!$P$40)</f>
        <v>0</v>
      </c>
      <c r="C121" s="2621">
        <f>IF('Part III-Sources of Funds'!$P$40="", 0,-'Part III-Sources of Funds'!$P$40)</f>
        <v>0</v>
      </c>
      <c r="D121" s="2621">
        <f>IF('Part III-Sources of Funds'!$P$40="", 0,-'Part III-Sources of Funds'!$P$40)</f>
        <v>0</v>
      </c>
      <c r="E121" s="2621">
        <f>IF('Part III-Sources of Funds'!$P$40="", 0,-'Part III-Sources of Funds'!$P$40)</f>
        <v>0</v>
      </c>
      <c r="F121" s="2621">
        <f>IF('Part III-Sources of Funds'!$P$40="", 0,-'Part III-Sources of Funds'!$P$40)</f>
        <v>0</v>
      </c>
      <c r="G121" s="17"/>
      <c r="H121" s="17"/>
      <c r="I121" s="17"/>
      <c r="J121" s="17"/>
      <c r="K121" s="17"/>
      <c r="N121" s="3325"/>
      <c r="O121" s="3327"/>
    </row>
    <row r="122" spans="1:19" ht="13.35" customHeight="1">
      <c r="A122" s="21" t="str">
        <f>$A92</f>
        <v>D/S Other Source,not DDF</v>
      </c>
      <c r="B122" s="2621">
        <f>IF('Part III-Sources of Funds'!$P$41="", 0,-'Part III-Sources of Funds'!$P$41)</f>
        <v>0</v>
      </c>
      <c r="C122" s="2621">
        <f>IF('Part III-Sources of Funds'!$P$41="", 0,-'Part III-Sources of Funds'!$P$41)</f>
        <v>0</v>
      </c>
      <c r="D122" s="2621">
        <f>IF('Part III-Sources of Funds'!$P$41="", 0,-'Part III-Sources of Funds'!$P$41)</f>
        <v>0</v>
      </c>
      <c r="E122" s="2621">
        <f>IF('Part III-Sources of Funds'!$P$41="", 0,-'Part III-Sources of Funds'!$P$41)</f>
        <v>0</v>
      </c>
      <c r="F122" s="2621">
        <f>IF('Part III-Sources of Funds'!$P$41="", 0,-'Part III-Sources of Funds'!$P$41)</f>
        <v>0</v>
      </c>
      <c r="G122" s="17"/>
      <c r="H122" s="17"/>
      <c r="I122" s="17"/>
      <c r="J122" s="17"/>
      <c r="K122" s="17"/>
      <c r="N122" s="3325"/>
      <c r="O122" s="3327"/>
    </row>
    <row r="123" spans="1:19" ht="13.35" customHeight="1">
      <c r="A123" s="21" t="s">
        <v>745</v>
      </c>
      <c r="B123" s="2622"/>
      <c r="C123" s="2622"/>
      <c r="D123" s="2622"/>
      <c r="E123" s="2622"/>
      <c r="F123" s="2622"/>
      <c r="G123" s="17"/>
      <c r="H123" s="17"/>
      <c r="I123" s="17"/>
      <c r="J123" s="17"/>
      <c r="K123" s="17"/>
      <c r="N123" s="3325"/>
      <c r="O123" s="3327"/>
    </row>
    <row r="124" spans="1:19" ht="13.35" customHeight="1">
      <c r="A124" s="21" t="s">
        <v>1141</v>
      </c>
      <c r="B124" s="2624">
        <f>+K94</f>
        <v>0</v>
      </c>
      <c r="C124" s="2624">
        <f>+B124</f>
        <v>0</v>
      </c>
      <c r="D124" s="2624">
        <f>+C124</f>
        <v>0</v>
      </c>
      <c r="E124" s="2624">
        <f>+D124</f>
        <v>0</v>
      </c>
      <c r="F124" s="2624">
        <f>+E124</f>
        <v>0</v>
      </c>
      <c r="G124" s="17"/>
      <c r="H124" s="17"/>
      <c r="I124" s="17"/>
      <c r="J124" s="17"/>
      <c r="K124" s="17"/>
      <c r="N124" s="3325"/>
      <c r="O124" s="3327"/>
    </row>
    <row r="125" spans="1:19" ht="13.35" customHeight="1">
      <c r="A125" s="21" t="s">
        <v>1142</v>
      </c>
      <c r="B125" s="22">
        <f>SUM(B118:B124)</f>
        <v>13082.290444912702</v>
      </c>
      <c r="C125" s="22">
        <f>SUM(C118:C124)</f>
        <v>7804.6545660522679</v>
      </c>
      <c r="D125" s="22">
        <f>SUM(D118:D124)</f>
        <v>2255.7443189826954</v>
      </c>
      <c r="E125" s="22">
        <f>SUM(E118:E124)</f>
        <v>-3574.4106331805306</v>
      </c>
      <c r="F125" s="23">
        <f>SUM(F118:F124)</f>
        <v>-9699.1295795431797</v>
      </c>
      <c r="G125" s="17"/>
      <c r="H125" s="17"/>
      <c r="I125" s="17"/>
      <c r="J125" s="17"/>
      <c r="K125" s="17"/>
      <c r="N125" s="3325"/>
      <c r="O125" s="3327"/>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25"/>
      <c r="O126" s="332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25"/>
      <c r="O127" s="332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5"/>
      <c r="O128" s="332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5"/>
      <c r="O129" s="3327"/>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25"/>
      <c r="O130" s="3327"/>
    </row>
    <row r="131" spans="1:19" ht="13.35" customHeight="1">
      <c r="A131" s="21" t="s">
        <v>752</v>
      </c>
      <c r="B131" s="265">
        <f>IF(OR(B115="Choose mgt fee",B115="Choose One!"),"",(B108+B109+B110+B111+B112) / -(B114+B115+B116))</f>
        <v>1.0214483408721968</v>
      </c>
      <c r="C131" s="265">
        <f>IF(OR(C115="Choose mgt fee",C115="Choose One!"),"",(C108+C109+C110+C111+C112) / -(C114+C115+C116))</f>
        <v>1.0124340835248884</v>
      </c>
      <c r="D131" s="265">
        <f>IF(OR(D115="Choose mgt fee",D115="Choose One!"),"",(D108+D109+D110+D111+D112) / -(D114+D115+D116))</f>
        <v>1.0034921833036865</v>
      </c>
      <c r="E131" s="265">
        <f>IF(OR(E115="Choose mgt fee",E115="Choose One!"),"",(E108+E109+E110+E111+E112) / -(E114+E115+E116))</f>
        <v>0.99462280421723515</v>
      </c>
      <c r="F131" s="597">
        <f>IF(OR(F115="Choose mgt fee",F115="Choose One!"),"",(F108+F109+F110+F111+F112) / -(F114+F115+F116))</f>
        <v>0.98582170657572854</v>
      </c>
      <c r="G131" s="17"/>
      <c r="H131" s="17"/>
      <c r="I131" s="17"/>
      <c r="J131" s="17"/>
      <c r="K131" s="17"/>
      <c r="N131" s="3325"/>
      <c r="O131" s="3327"/>
    </row>
    <row r="132" spans="1:19" ht="13.35" customHeight="1">
      <c r="A132" s="417" t="s">
        <v>2550</v>
      </c>
      <c r="B132" s="2625">
        <f>IF('Part III-Sources of Funds'!$I$38="","",-FV('Part III-Sources of Funds'!$K$38/12,12,B119/12,K102))</f>
        <v>-5.4370102923654068E-8</v>
      </c>
      <c r="C132" s="2625">
        <f>IF('Part III-Sources of Funds'!$I$38="","",-FV('Part III-Sources of Funds'!$K$38/12,12,C119/12,B132))</f>
        <v>-5.4998665278824417E-8</v>
      </c>
      <c r="D132" s="2625">
        <f>IF('Part III-Sources of Funds'!$I$38="","",-FV('Part III-Sources of Funds'!$K$38/12,12,D119/12,C132))</f>
        <v>-5.56344943230958E-8</v>
      </c>
      <c r="E132" s="2625">
        <f>IF('Part III-Sources of Funds'!$I$38="","",-FV('Part III-Sources of Funds'!$K$38/12,12,E119/12,D132))</f>
        <v>-5.6277674065270292E-8</v>
      </c>
      <c r="F132" s="2625">
        <f>IF('Part III-Sources of Funds'!$I$38="","",-FV('Part III-Sources of Funds'!$K$38/12,12,F119/12,E132))</f>
        <v>-5.6928289485359667E-8</v>
      </c>
      <c r="G132" s="17"/>
      <c r="H132" s="17"/>
      <c r="I132" s="17"/>
      <c r="J132" s="17"/>
      <c r="K132" s="17"/>
      <c r="N132" s="3325"/>
      <c r="O132" s="3327"/>
    </row>
    <row r="133" spans="1:19" ht="13.35" customHeight="1">
      <c r="A133" s="417" t="s">
        <v>2551</v>
      </c>
      <c r="B133" s="2621" t="str">
        <f>IF('Part III-Sources of Funds'!$I$39="","",-FV('Part III-Sources of Funds'!$K$39/12,12,B120/12,K103))</f>
        <v/>
      </c>
      <c r="C133" s="2621" t="str">
        <f>IF('Part III-Sources of Funds'!$I$39="","",-FV('Part III-Sources of Funds'!$K$39/12,12,C120/12,B133))</f>
        <v/>
      </c>
      <c r="D133" s="2621" t="str">
        <f>IF('Part III-Sources of Funds'!$I$39="","",-FV('Part III-Sources of Funds'!$K$39/12,12,D120/12,C133))</f>
        <v/>
      </c>
      <c r="E133" s="2621" t="str">
        <f>IF('Part III-Sources of Funds'!$I$39="","",-FV('Part III-Sources of Funds'!$K$39/12,12,E120/12,D133))</f>
        <v/>
      </c>
      <c r="F133" s="2621" t="str">
        <f>IF('Part III-Sources of Funds'!$I$39="","",-FV('Part III-Sources of Funds'!$K$39/12,12,F120/12,E133))</f>
        <v/>
      </c>
      <c r="G133" s="17"/>
      <c r="H133" s="17"/>
      <c r="I133" s="17"/>
      <c r="J133" s="17"/>
      <c r="K133" s="17"/>
      <c r="N133" s="3325"/>
      <c r="O133" s="3327"/>
    </row>
    <row r="134" spans="1:19" ht="13.35" customHeight="1">
      <c r="A134" s="417" t="s">
        <v>2552</v>
      </c>
      <c r="B134" s="2621" t="str">
        <f>IF('Part III-Sources of Funds'!$I$40="","",-FV('Part III-Sources of Funds'!$K$40/12,12,B121/12,K104))</f>
        <v/>
      </c>
      <c r="C134" s="2621" t="str">
        <f>IF('Part III-Sources of Funds'!$I$40="","",-FV('Part III-Sources of Funds'!$K$40/12,12,C121/12,B134))</f>
        <v/>
      </c>
      <c r="D134" s="2621" t="str">
        <f>IF('Part III-Sources of Funds'!$I$40="","",-FV('Part III-Sources of Funds'!$K$40/12,12,D121/12,C134))</f>
        <v/>
      </c>
      <c r="E134" s="2621" t="str">
        <f>IF('Part III-Sources of Funds'!$I$40="","",-FV('Part III-Sources of Funds'!$K$40/12,12,E121/12,D134))</f>
        <v/>
      </c>
      <c r="F134" s="2621" t="str">
        <f>IF('Part III-Sources of Funds'!$I$40="","",-FV('Part III-Sources of Funds'!$K$40/12,12,F121/12,E134))</f>
        <v/>
      </c>
      <c r="G134" s="17"/>
      <c r="H134" s="17"/>
      <c r="I134" s="17"/>
      <c r="J134" s="17"/>
      <c r="K134" s="17"/>
      <c r="N134" s="3325"/>
      <c r="O134" s="3327"/>
    </row>
    <row r="135" spans="1:19" ht="13.35" customHeight="1">
      <c r="A135" s="26" t="s">
        <v>764</v>
      </c>
      <c r="B135" s="2624" t="str">
        <f>IF('Part III-Sources of Funds'!$I$41="","",-FV('Part III-Sources of Funds'!$K$41/12,12,B122/12,K105))</f>
        <v/>
      </c>
      <c r="C135" s="2624" t="str">
        <f>IF('Part III-Sources of Funds'!$I$41="","",-FV('Part III-Sources of Funds'!$K$41/12,12,C122/12,B135))</f>
        <v/>
      </c>
      <c r="D135" s="2624" t="str">
        <f>IF('Part III-Sources of Funds'!$I$41="","",-FV('Part III-Sources of Funds'!$K$41/12,12,D122/12,C135))</f>
        <v/>
      </c>
      <c r="E135" s="2624" t="str">
        <f>IF('Part III-Sources of Funds'!$I$41="","",-FV('Part III-Sources of Funds'!$K$41/12,12,E122/12,D135))</f>
        <v/>
      </c>
      <c r="F135" s="2624" t="str">
        <f>IF('Part III-Sources of Funds'!$I$41="","",-FV('Part III-Sources of Funds'!$K$41/12,12,F122/12,E135))</f>
        <v/>
      </c>
      <c r="G135" s="17"/>
      <c r="H135" s="17"/>
      <c r="I135" s="17"/>
      <c r="J135" s="17"/>
      <c r="K135" s="17"/>
      <c r="N135" s="3337"/>
      <c r="O135" s="3339"/>
    </row>
    <row r="136" spans="1:19" ht="4.3499999999999996" customHeight="1"/>
    <row r="137" spans="1:19" ht="12" customHeight="1">
      <c r="A137" s="13" t="s">
        <v>554</v>
      </c>
      <c r="B137" s="13"/>
      <c r="G137" s="13" t="s">
        <v>1009</v>
      </c>
    </row>
    <row r="138" spans="1:19" ht="12" customHeight="1">
      <c r="B138" s="31"/>
    </row>
    <row r="139" spans="1:19" ht="409.5" customHeight="1">
      <c r="A139" s="3418" t="s">
        <v>7171</v>
      </c>
      <c r="B139" s="3419"/>
      <c r="C139" s="3419"/>
      <c r="D139" s="3419"/>
      <c r="E139" s="3419"/>
      <c r="F139" s="3420"/>
      <c r="G139" s="3421"/>
      <c r="H139" s="3422"/>
      <c r="I139" s="3422"/>
      <c r="J139" s="3422"/>
      <c r="K139" s="3423"/>
      <c r="N139" s="3074" t="s">
        <v>2614</v>
      </c>
      <c r="O139" s="307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FiGF1xkeYClOger2lHQ7vrt9ufQeP2szoYIjxBgeRFXW8Hv0wwgbbMkPiYat109V6B6i7Z0CY5XChuUMgb9Ksg==" saltValue="eQqYZ2tDfAS1pTtZ4ewSZ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104" t="str">
        <f>CONCATENATE("PART EIGHT - THRESHOLD CRITERIA","  -  ",'Part I-Project Information'!$O$6," ",'Part I-Project Information'!$F$34,", ",'Part I-Project Information'!F38,", ",'Part I-Project Information'!J39," County")</f>
        <v>PART EIGHT - THRESHOLD CRITERIA  -  2020-091 The Pointe at St. Martin, Hartwell, Hart County</v>
      </c>
      <c r="B1" s="3105"/>
      <c r="C1" s="3105"/>
      <c r="D1" s="3105"/>
      <c r="E1" s="3105"/>
      <c r="F1" s="3105"/>
      <c r="G1" s="3105"/>
      <c r="H1" s="3105"/>
      <c r="I1" s="3105"/>
      <c r="J1" s="3105"/>
      <c r="K1" s="3105"/>
      <c r="L1" s="3105"/>
      <c r="M1" s="3105"/>
      <c r="N1" s="3105"/>
      <c r="O1" s="3105"/>
      <c r="P1" s="3105"/>
      <c r="Q1" s="3105"/>
      <c r="R1" s="3556" t="str">
        <f>'Part I-Project Information'!$B$6</f>
        <v>May 26, 2020 Version</v>
      </c>
      <c r="S1" s="3556"/>
    </row>
    <row r="2" spans="1:32" s="27" customFormat="1" ht="3" customHeight="1">
      <c r="R2" s="3556"/>
      <c r="S2" s="3556"/>
      <c r="AE2" s="116"/>
      <c r="AF2" s="116"/>
    </row>
    <row r="3" spans="1:32" ht="13.5" customHeight="1">
      <c r="A3" s="358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85"/>
      <c r="C3" s="3585"/>
      <c r="D3" s="3585"/>
      <c r="E3" s="3585"/>
      <c r="F3" s="3585"/>
      <c r="G3" s="3585"/>
      <c r="H3" s="358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85"/>
      <c r="J3" s="3585"/>
      <c r="K3" s="3585"/>
      <c r="L3" s="3585"/>
      <c r="M3" s="3585"/>
      <c r="N3" s="3586"/>
      <c r="O3" s="3587" t="s">
        <v>913</v>
      </c>
      <c r="P3" s="3588"/>
      <c r="Q3" s="1508" t="s">
        <v>1796</v>
      </c>
      <c r="R3" s="3556"/>
      <c r="S3" s="3556"/>
    </row>
    <row r="4" spans="1:32" ht="3" customHeight="1">
      <c r="A4" s="2375"/>
      <c r="B4" s="3589"/>
      <c r="C4" s="3589"/>
      <c r="D4" s="3589"/>
      <c r="E4" s="2375"/>
      <c r="F4" s="2375"/>
      <c r="G4" s="2375"/>
      <c r="H4" s="2375"/>
      <c r="I4" s="2375"/>
      <c r="J4" s="2375"/>
      <c r="K4" s="2375"/>
      <c r="L4" s="2375"/>
      <c r="M4" s="2375"/>
      <c r="N4" s="2375"/>
      <c r="P4" s="2375"/>
      <c r="Q4" s="2375"/>
      <c r="R4" s="3556"/>
      <c r="S4" s="3556"/>
    </row>
    <row r="5" spans="1:32" ht="11.1" hidden="1" customHeight="1">
      <c r="A5" s="2375"/>
      <c r="B5" s="2375"/>
      <c r="C5" s="2375"/>
      <c r="D5" s="2375"/>
      <c r="E5" s="2375"/>
      <c r="F5" s="2375"/>
      <c r="G5" s="2375"/>
      <c r="H5" s="2375"/>
      <c r="I5" s="2375"/>
      <c r="J5" s="2375"/>
      <c r="K5" s="2375"/>
      <c r="L5" s="2375"/>
      <c r="M5" s="2375"/>
      <c r="N5" s="2375"/>
      <c r="P5" s="2375"/>
      <c r="Q5" s="2375"/>
      <c r="R5" s="3556"/>
      <c r="S5" s="3556"/>
    </row>
    <row r="6" spans="1:32" ht="17.25" customHeight="1">
      <c r="A6" s="125" t="s">
        <v>550</v>
      </c>
      <c r="J6" s="3592" t="s">
        <v>3630</v>
      </c>
      <c r="K6" s="3592"/>
      <c r="L6" s="3592"/>
      <c r="M6" s="3592"/>
      <c r="N6" s="3592"/>
      <c r="O6" s="3593"/>
      <c r="P6" s="3590"/>
      <c r="Q6" s="3591"/>
      <c r="R6" s="3556"/>
      <c r="S6" s="3556"/>
    </row>
    <row r="7" spans="1:32" ht="12.6" customHeight="1">
      <c r="A7" s="126" t="s">
        <v>3337</v>
      </c>
      <c r="C7" s="127"/>
      <c r="D7" s="127"/>
      <c r="H7" s="1210"/>
      <c r="I7" s="1210"/>
      <c r="J7" s="1210"/>
      <c r="K7" s="1210"/>
      <c r="L7" s="1210"/>
      <c r="M7" s="2375"/>
      <c r="N7" s="2375"/>
    </row>
    <row r="8" spans="1:32" ht="24.6" customHeight="1">
      <c r="A8" s="3594" t="s">
        <v>1381</v>
      </c>
      <c r="B8" s="3595"/>
      <c r="C8" s="3595"/>
      <c r="D8" s="3595"/>
      <c r="E8" s="3595"/>
      <c r="F8" s="3595"/>
      <c r="G8" s="3595"/>
      <c r="H8" s="3595"/>
      <c r="I8" s="3595"/>
      <c r="J8" s="3595"/>
      <c r="K8" s="3595"/>
      <c r="L8" s="3595"/>
      <c r="M8" s="3595"/>
      <c r="N8" s="3595"/>
      <c r="O8" s="3595"/>
      <c r="P8" s="3595"/>
      <c r="Q8" s="3596"/>
      <c r="R8" s="3403" t="s">
        <v>1984</v>
      </c>
      <c r="S8" s="2679"/>
    </row>
    <row r="9" spans="1:32" ht="24.6" customHeight="1">
      <c r="A9" s="3558" t="s">
        <v>221</v>
      </c>
      <c r="B9" s="3559"/>
      <c r="C9" s="3559"/>
      <c r="D9" s="3559"/>
      <c r="E9" s="3559"/>
      <c r="F9" s="3559"/>
      <c r="G9" s="3559"/>
      <c r="H9" s="3559"/>
      <c r="I9" s="3559"/>
      <c r="J9" s="3559"/>
      <c r="K9" s="3559"/>
      <c r="L9" s="3559"/>
      <c r="M9" s="3559"/>
      <c r="N9" s="3559"/>
      <c r="O9" s="3559"/>
      <c r="P9" s="3559"/>
      <c r="Q9" s="3560"/>
      <c r="R9" s="3403"/>
      <c r="S9" s="2679"/>
    </row>
    <row r="10" spans="1:32" ht="24.6" customHeight="1">
      <c r="A10" s="3558" t="s">
        <v>1377</v>
      </c>
      <c r="B10" s="3559"/>
      <c r="C10" s="3559"/>
      <c r="D10" s="3559"/>
      <c r="E10" s="3559"/>
      <c r="F10" s="3559"/>
      <c r="G10" s="3559"/>
      <c r="H10" s="3559"/>
      <c r="I10" s="3559"/>
      <c r="J10" s="3559"/>
      <c r="K10" s="3559"/>
      <c r="L10" s="3559"/>
      <c r="M10" s="3559"/>
      <c r="N10" s="3559"/>
      <c r="O10" s="3559"/>
      <c r="P10" s="3559"/>
      <c r="Q10" s="3560"/>
      <c r="R10" s="3403"/>
      <c r="S10" s="2679"/>
    </row>
    <row r="11" spans="1:32" ht="24.6" customHeight="1">
      <c r="A11" s="3558" t="s">
        <v>1378</v>
      </c>
      <c r="B11" s="3559"/>
      <c r="C11" s="3559"/>
      <c r="D11" s="3559"/>
      <c r="E11" s="3559"/>
      <c r="F11" s="3559"/>
      <c r="G11" s="3559"/>
      <c r="H11" s="3559"/>
      <c r="I11" s="3559"/>
      <c r="J11" s="3559"/>
      <c r="K11" s="3559"/>
      <c r="L11" s="3559"/>
      <c r="M11" s="3559"/>
      <c r="N11" s="3559"/>
      <c r="O11" s="3559"/>
      <c r="P11" s="3559"/>
      <c r="Q11" s="3560"/>
      <c r="R11" s="3403"/>
      <c r="S11" s="2679"/>
    </row>
    <row r="12" spans="1:32" ht="24" customHeight="1">
      <c r="A12" s="3558" t="s">
        <v>1379</v>
      </c>
      <c r="B12" s="3559"/>
      <c r="C12" s="3559"/>
      <c r="D12" s="3559"/>
      <c r="E12" s="3559"/>
      <c r="F12" s="3559"/>
      <c r="G12" s="3559"/>
      <c r="H12" s="3559"/>
      <c r="I12" s="3559"/>
      <c r="J12" s="3559"/>
      <c r="K12" s="3559"/>
      <c r="L12" s="3559"/>
      <c r="M12" s="3559"/>
      <c r="N12" s="3559"/>
      <c r="O12" s="3559"/>
      <c r="P12" s="3559"/>
      <c r="Q12" s="3560"/>
      <c r="R12" s="2344"/>
      <c r="S12" s="2344"/>
    </row>
    <row r="13" spans="1:32" ht="11.25" customHeight="1">
      <c r="A13" s="3558" t="s">
        <v>1380</v>
      </c>
      <c r="B13" s="3559"/>
      <c r="C13" s="3559"/>
      <c r="D13" s="3559"/>
      <c r="E13" s="3559"/>
      <c r="F13" s="3559"/>
      <c r="G13" s="3559"/>
      <c r="H13" s="3559"/>
      <c r="I13" s="3559"/>
      <c r="J13" s="3559"/>
      <c r="K13" s="3559"/>
      <c r="L13" s="3559"/>
      <c r="M13" s="3559"/>
      <c r="N13" s="3559"/>
      <c r="O13" s="3559"/>
      <c r="P13" s="3559"/>
      <c r="Q13" s="3560"/>
      <c r="R13" s="2344"/>
      <c r="S13" s="2344"/>
    </row>
    <row r="14" spans="1:32" ht="11.25" customHeight="1">
      <c r="A14" s="3558" t="s">
        <v>1382</v>
      </c>
      <c r="B14" s="3559"/>
      <c r="C14" s="3559"/>
      <c r="D14" s="3559"/>
      <c r="E14" s="3559"/>
      <c r="F14" s="3559"/>
      <c r="G14" s="3559"/>
      <c r="H14" s="3559"/>
      <c r="I14" s="3559"/>
      <c r="J14" s="3559"/>
      <c r="K14" s="3559"/>
      <c r="L14" s="3559"/>
      <c r="M14" s="3559"/>
      <c r="N14" s="3559"/>
      <c r="O14" s="3559"/>
      <c r="P14" s="3559"/>
      <c r="Q14" s="3560"/>
    </row>
    <row r="15" spans="1:32" ht="11.25" customHeight="1">
      <c r="A15" s="3558" t="s">
        <v>1971</v>
      </c>
      <c r="B15" s="3559"/>
      <c r="C15" s="3559"/>
      <c r="D15" s="3559"/>
      <c r="E15" s="3559"/>
      <c r="F15" s="3559"/>
      <c r="G15" s="3559"/>
      <c r="H15" s="3559"/>
      <c r="I15" s="3559"/>
      <c r="J15" s="3559"/>
      <c r="K15" s="3559"/>
      <c r="L15" s="3559"/>
      <c r="M15" s="3559"/>
      <c r="N15" s="3559"/>
      <c r="O15" s="3559"/>
      <c r="P15" s="3559"/>
      <c r="Q15" s="3560"/>
      <c r="R15" s="3403" t="s">
        <v>1984</v>
      </c>
      <c r="S15" s="2870"/>
    </row>
    <row r="16" spans="1:32" ht="11.25" customHeight="1">
      <c r="A16" s="3558" t="s">
        <v>1972</v>
      </c>
      <c r="B16" s="3559"/>
      <c r="C16" s="3559"/>
      <c r="D16" s="3559"/>
      <c r="E16" s="3559"/>
      <c r="F16" s="3559"/>
      <c r="G16" s="3559"/>
      <c r="H16" s="3559"/>
      <c r="I16" s="3559"/>
      <c r="J16" s="3559"/>
      <c r="K16" s="3559"/>
      <c r="L16" s="3559"/>
      <c r="M16" s="3559"/>
      <c r="N16" s="3559"/>
      <c r="O16" s="3559"/>
      <c r="P16" s="3559"/>
      <c r="Q16" s="3560"/>
      <c r="R16" s="3403"/>
      <c r="S16" s="2870"/>
    </row>
    <row r="17" spans="1:31" ht="11.25" customHeight="1">
      <c r="A17" s="3558" t="s">
        <v>1973</v>
      </c>
      <c r="B17" s="3559"/>
      <c r="C17" s="3559"/>
      <c r="D17" s="3559"/>
      <c r="E17" s="3559"/>
      <c r="F17" s="3559"/>
      <c r="G17" s="3559"/>
      <c r="H17" s="3559"/>
      <c r="I17" s="3559"/>
      <c r="J17" s="3559"/>
      <c r="K17" s="3559"/>
      <c r="L17" s="3559"/>
      <c r="M17" s="3559"/>
      <c r="N17" s="3559"/>
      <c r="O17" s="3559"/>
      <c r="P17" s="3559"/>
      <c r="Q17" s="3560"/>
      <c r="R17" s="3403"/>
      <c r="S17" s="2870"/>
    </row>
    <row r="18" spans="1:31" ht="11.25" customHeight="1">
      <c r="A18" s="3558" t="s">
        <v>1974</v>
      </c>
      <c r="B18" s="3559"/>
      <c r="C18" s="3559"/>
      <c r="D18" s="3559"/>
      <c r="E18" s="3559"/>
      <c r="F18" s="3559"/>
      <c r="G18" s="3559"/>
      <c r="H18" s="3559"/>
      <c r="I18" s="3559"/>
      <c r="J18" s="3559"/>
      <c r="K18" s="3559"/>
      <c r="L18" s="3559"/>
      <c r="M18" s="3559"/>
      <c r="N18" s="3559"/>
      <c r="O18" s="3559"/>
      <c r="P18" s="3559"/>
      <c r="Q18" s="3560"/>
      <c r="R18" s="3403"/>
      <c r="S18" s="2870"/>
    </row>
    <row r="19" spans="1:31" ht="11.25" customHeight="1">
      <c r="A19" s="3558" t="s">
        <v>1975</v>
      </c>
      <c r="B19" s="3559"/>
      <c r="C19" s="3559"/>
      <c r="D19" s="3559"/>
      <c r="E19" s="3559"/>
      <c r="F19" s="3559"/>
      <c r="G19" s="3559"/>
      <c r="H19" s="3559"/>
      <c r="I19" s="3559"/>
      <c r="J19" s="3559"/>
      <c r="K19" s="3559"/>
      <c r="L19" s="3559"/>
      <c r="M19" s="3559"/>
      <c r="N19" s="3559"/>
      <c r="O19" s="3559"/>
      <c r="P19" s="3559"/>
      <c r="Q19" s="3560"/>
      <c r="R19" s="3403"/>
      <c r="S19" s="2870"/>
    </row>
    <row r="20" spans="1:31" ht="11.25" customHeight="1">
      <c r="A20" s="3558" t="s">
        <v>1976</v>
      </c>
      <c r="B20" s="3559"/>
      <c r="C20" s="3559"/>
      <c r="D20" s="3559"/>
      <c r="E20" s="3559"/>
      <c r="F20" s="3559"/>
      <c r="G20" s="3559"/>
      <c r="H20" s="3559"/>
      <c r="I20" s="3559"/>
      <c r="J20" s="3559"/>
      <c r="K20" s="3559"/>
      <c r="L20" s="3559"/>
      <c r="M20" s="3559"/>
      <c r="N20" s="3559"/>
      <c r="O20" s="3559"/>
      <c r="P20" s="3559"/>
      <c r="Q20" s="3560"/>
      <c r="R20" s="3403"/>
      <c r="S20" s="2870"/>
    </row>
    <row r="21" spans="1:31" ht="11.25" customHeight="1">
      <c r="A21" s="3558" t="s">
        <v>1977</v>
      </c>
      <c r="B21" s="3559"/>
      <c r="C21" s="3559"/>
      <c r="D21" s="3559"/>
      <c r="E21" s="3559"/>
      <c r="F21" s="3559"/>
      <c r="G21" s="3559"/>
      <c r="H21" s="3559"/>
      <c r="I21" s="3559"/>
      <c r="J21" s="3559"/>
      <c r="K21" s="3559"/>
      <c r="L21" s="3559"/>
      <c r="M21" s="3559"/>
      <c r="N21" s="3559"/>
      <c r="O21" s="3559"/>
      <c r="P21" s="3559"/>
      <c r="Q21" s="3560"/>
    </row>
    <row r="22" spans="1:31" ht="11.25" customHeight="1">
      <c r="A22" s="3558" t="s">
        <v>1978</v>
      </c>
      <c r="B22" s="3559"/>
      <c r="C22" s="3559"/>
      <c r="D22" s="3559"/>
      <c r="E22" s="3559"/>
      <c r="F22" s="3559"/>
      <c r="G22" s="3559"/>
      <c r="H22" s="3559"/>
      <c r="I22" s="3559"/>
      <c r="J22" s="3559"/>
      <c r="K22" s="3559"/>
      <c r="L22" s="3559"/>
      <c r="M22" s="3559"/>
      <c r="N22" s="3559"/>
      <c r="O22" s="3559"/>
      <c r="P22" s="3559"/>
      <c r="Q22" s="3560"/>
      <c r="R22" s="3403" t="s">
        <v>1984</v>
      </c>
      <c r="S22" s="2870"/>
    </row>
    <row r="23" spans="1:31" ht="11.25" customHeight="1">
      <c r="A23" s="3558" t="s">
        <v>1979</v>
      </c>
      <c r="B23" s="3559"/>
      <c r="C23" s="3559"/>
      <c r="D23" s="3559"/>
      <c r="E23" s="3559"/>
      <c r="F23" s="3559"/>
      <c r="G23" s="3559"/>
      <c r="H23" s="3559"/>
      <c r="I23" s="3559"/>
      <c r="J23" s="3559"/>
      <c r="K23" s="3559"/>
      <c r="L23" s="3559"/>
      <c r="M23" s="3559"/>
      <c r="N23" s="3559"/>
      <c r="O23" s="3559"/>
      <c r="P23" s="3559"/>
      <c r="Q23" s="3560"/>
      <c r="R23" s="3403"/>
      <c r="S23" s="2870"/>
    </row>
    <row r="24" spans="1:31" ht="11.25" customHeight="1">
      <c r="A24" s="3558" t="s">
        <v>1980</v>
      </c>
      <c r="B24" s="3559"/>
      <c r="C24" s="3559"/>
      <c r="D24" s="3559"/>
      <c r="E24" s="3559"/>
      <c r="F24" s="3559"/>
      <c r="G24" s="3559"/>
      <c r="H24" s="3559"/>
      <c r="I24" s="3559"/>
      <c r="J24" s="3559"/>
      <c r="K24" s="3559"/>
      <c r="L24" s="3559"/>
      <c r="M24" s="3559"/>
      <c r="N24" s="3559"/>
      <c r="O24" s="3559"/>
      <c r="P24" s="3559"/>
      <c r="Q24" s="3560"/>
      <c r="R24" s="3403"/>
      <c r="S24" s="2870"/>
    </row>
    <row r="25" spans="1:31" ht="11.25" customHeight="1">
      <c r="A25" s="3558" t="s">
        <v>1981</v>
      </c>
      <c r="B25" s="3559"/>
      <c r="C25" s="3559"/>
      <c r="D25" s="3559"/>
      <c r="E25" s="3559"/>
      <c r="F25" s="3559"/>
      <c r="G25" s="3559"/>
      <c r="H25" s="3559"/>
      <c r="I25" s="3559"/>
      <c r="J25" s="3559"/>
      <c r="K25" s="3559"/>
      <c r="L25" s="3559"/>
      <c r="M25" s="3559"/>
      <c r="N25" s="3559"/>
      <c r="O25" s="3559"/>
      <c r="P25" s="3559"/>
      <c r="Q25" s="3560"/>
      <c r="R25" s="3403"/>
      <c r="S25" s="2870"/>
    </row>
    <row r="26" spans="1:31" ht="11.25" customHeight="1">
      <c r="A26" s="3558" t="s">
        <v>1982</v>
      </c>
      <c r="B26" s="3559"/>
      <c r="C26" s="3559"/>
      <c r="D26" s="3559"/>
      <c r="E26" s="3559"/>
      <c r="F26" s="3559"/>
      <c r="G26" s="3559"/>
      <c r="H26" s="3559"/>
      <c r="I26" s="3559"/>
      <c r="J26" s="3559"/>
      <c r="K26" s="3559"/>
      <c r="L26" s="3559"/>
      <c r="M26" s="3559"/>
      <c r="N26" s="3559"/>
      <c r="O26" s="3559"/>
      <c r="P26" s="3559"/>
      <c r="Q26" s="3560"/>
      <c r="R26" s="3403"/>
      <c r="S26" s="2870"/>
    </row>
    <row r="27" spans="1:31" ht="11.25" customHeight="1">
      <c r="A27" s="3561" t="s">
        <v>1983</v>
      </c>
      <c r="B27" s="3562"/>
      <c r="C27" s="3562"/>
      <c r="D27" s="3562"/>
      <c r="E27" s="3562"/>
      <c r="F27" s="3562"/>
      <c r="G27" s="3562"/>
      <c r="H27" s="3562"/>
      <c r="I27" s="3562"/>
      <c r="J27" s="3562"/>
      <c r="K27" s="3562"/>
      <c r="L27" s="3562"/>
      <c r="M27" s="3562"/>
      <c r="N27" s="3562"/>
      <c r="O27" s="3562"/>
      <c r="P27" s="3562"/>
      <c r="Q27" s="3563"/>
      <c r="R27" s="3403"/>
      <c r="S27" s="2870"/>
    </row>
    <row r="28" spans="1:31" ht="6" customHeight="1"/>
    <row r="29" spans="1:31" ht="14.1" customHeight="1">
      <c r="A29" s="128" t="s">
        <v>598</v>
      </c>
      <c r="B29" s="129" t="s">
        <v>2579</v>
      </c>
      <c r="C29" s="130"/>
      <c r="D29" s="86"/>
      <c r="E29" s="86"/>
      <c r="F29" s="86"/>
      <c r="G29" s="86"/>
      <c r="I29" s="2399"/>
      <c r="J29" s="2399"/>
      <c r="K29" s="2399"/>
      <c r="L29" s="2375"/>
      <c r="M29" s="2375"/>
      <c r="O29" s="131" t="s">
        <v>1821</v>
      </c>
      <c r="P29" s="3442"/>
      <c r="Q29" s="3429"/>
    </row>
    <row r="30" spans="1:31" ht="3" customHeight="1"/>
    <row r="31" spans="1:31" ht="11.25" customHeight="1">
      <c r="B31" s="66" t="s">
        <v>3566</v>
      </c>
      <c r="C31" s="66"/>
      <c r="D31" s="66"/>
      <c r="E31" s="66"/>
      <c r="F31" s="66"/>
      <c r="G31" s="2399"/>
      <c r="H31" s="2399"/>
      <c r="I31" s="2399"/>
      <c r="J31" s="2399"/>
      <c r="K31" s="2375"/>
      <c r="L31" s="2375"/>
      <c r="M31" s="2375"/>
      <c r="N31" s="2375"/>
      <c r="O31" s="2375"/>
      <c r="P31" s="855"/>
      <c r="S31" s="157"/>
      <c r="T31" s="157"/>
    </row>
    <row r="32" spans="1:31" ht="108.75" customHeight="1">
      <c r="A32" s="3439" t="s">
        <v>7127</v>
      </c>
      <c r="B32" s="3440"/>
      <c r="C32" s="3440"/>
      <c r="D32" s="3440"/>
      <c r="E32" s="3440"/>
      <c r="F32" s="3440"/>
      <c r="G32" s="3440"/>
      <c r="H32" s="3440"/>
      <c r="I32" s="3440"/>
      <c r="J32" s="3440"/>
      <c r="K32" s="3440"/>
      <c r="L32" s="3440"/>
      <c r="M32" s="3440"/>
      <c r="N32" s="3440"/>
      <c r="O32" s="3440"/>
      <c r="P32" s="3440"/>
      <c r="Q32" s="3441"/>
      <c r="R32" s="440" t="s">
        <v>1228</v>
      </c>
      <c r="S32" s="441"/>
      <c r="T32" s="157"/>
      <c r="U32" s="135"/>
      <c r="V32" s="135"/>
      <c r="W32" s="135"/>
      <c r="X32" s="135"/>
      <c r="Y32" s="135"/>
      <c r="Z32" s="135"/>
      <c r="AA32" s="135"/>
      <c r="AB32" s="135"/>
      <c r="AC32" s="135"/>
      <c r="AD32" s="135"/>
      <c r="AE32" s="457"/>
    </row>
    <row r="33" spans="1:295" ht="11.25" customHeight="1">
      <c r="B33" s="136" t="s">
        <v>1820</v>
      </c>
      <c r="C33" s="137"/>
      <c r="D33" s="2381"/>
      <c r="E33" s="2381"/>
      <c r="F33" s="2381"/>
      <c r="G33" s="2381"/>
      <c r="H33" s="2381"/>
      <c r="I33" s="2381"/>
      <c r="J33" s="2381"/>
      <c r="K33" s="2381"/>
      <c r="L33" s="2381"/>
      <c r="M33" s="2381"/>
      <c r="N33" s="2381"/>
      <c r="O33" s="2381"/>
      <c r="P33" s="2381"/>
    </row>
    <row r="34" spans="1:295" ht="36" customHeight="1">
      <c r="A34" s="3564"/>
      <c r="B34" s="3564"/>
      <c r="C34" s="3564"/>
      <c r="D34" s="3564"/>
      <c r="E34" s="3564"/>
      <c r="F34" s="3564"/>
      <c r="G34" s="3564"/>
      <c r="H34" s="3564"/>
      <c r="I34" s="3564"/>
      <c r="J34" s="3564"/>
      <c r="K34" s="3564"/>
      <c r="L34" s="3564"/>
      <c r="M34" s="3564"/>
      <c r="N34" s="3564"/>
      <c r="O34" s="3564"/>
      <c r="P34" s="3564"/>
      <c r="Q34" s="3564"/>
      <c r="R34" s="440" t="s">
        <v>1228</v>
      </c>
      <c r="S34" s="441"/>
    </row>
    <row r="35" spans="1:295" ht="3" customHeight="1">
      <c r="B35" s="2399"/>
      <c r="C35" s="2381"/>
      <c r="D35" s="2381"/>
      <c r="E35" s="2381"/>
      <c r="F35" s="2381"/>
      <c r="G35" s="2381"/>
      <c r="H35" s="2381"/>
      <c r="I35" s="2381"/>
      <c r="J35" s="2381"/>
      <c r="K35" s="2381"/>
      <c r="L35" s="2381"/>
      <c r="M35" s="2381"/>
      <c r="N35" s="2381"/>
      <c r="O35" s="2381"/>
      <c r="P35" s="2381"/>
      <c r="Q35" s="2375"/>
    </row>
    <row r="36" spans="1:295" ht="12.75" customHeight="1">
      <c r="A36" s="2373" t="s">
        <v>722</v>
      </c>
      <c r="B36" s="4" t="s">
        <v>2631</v>
      </c>
      <c r="C36" s="4"/>
      <c r="D36" s="4"/>
      <c r="E36" s="2381"/>
      <c r="G36" s="585"/>
      <c r="H36" s="585"/>
      <c r="I36" s="585"/>
      <c r="J36" s="42"/>
      <c r="L36" s="586"/>
      <c r="M36" s="586"/>
      <c r="N36" s="586"/>
      <c r="O36" s="131" t="s">
        <v>1821</v>
      </c>
      <c r="P36" s="3442"/>
      <c r="Q36" s="3429"/>
    </row>
    <row r="37" spans="1:295" ht="11.25" customHeight="1">
      <c r="A37" s="3643"/>
      <c r="B37" s="3643"/>
      <c r="C37" s="3643"/>
      <c r="D37" s="3643"/>
      <c r="E37" s="3643"/>
      <c r="F37" s="1511"/>
      <c r="G37" s="3565" t="s">
        <v>2635</v>
      </c>
      <c r="H37" s="3566"/>
      <c r="I37" s="589"/>
      <c r="J37" s="42"/>
      <c r="K37" s="3567" t="s">
        <v>3468</v>
      </c>
      <c r="L37" s="3568"/>
      <c r="M37" s="3568"/>
      <c r="N37" s="3569"/>
    </row>
    <row r="38" spans="1:295" ht="11.25" customHeight="1">
      <c r="A38" s="3643"/>
      <c r="B38" s="3643"/>
      <c r="C38" s="3643"/>
      <c r="D38" s="3643"/>
      <c r="E38" s="3643"/>
      <c r="F38" s="1511"/>
      <c r="G38" s="3570" t="s">
        <v>341</v>
      </c>
      <c r="H38" s="3571"/>
      <c r="I38" s="589"/>
      <c r="J38" s="42"/>
      <c r="K38" s="3572" t="s">
        <v>3469</v>
      </c>
      <c r="L38" s="3573"/>
      <c r="M38" s="3573"/>
      <c r="N38" s="3574"/>
      <c r="P38" s="509" t="s">
        <v>2650</v>
      </c>
      <c r="Q38" s="2254" t="s">
        <v>2886</v>
      </c>
    </row>
    <row r="39" spans="1:295" ht="4.5" customHeight="1">
      <c r="A39" s="1511"/>
      <c r="B39" s="1511"/>
      <c r="C39" s="1511"/>
      <c r="D39" s="1511"/>
      <c r="E39" s="1511"/>
      <c r="F39" s="1511"/>
      <c r="G39" s="213"/>
      <c r="H39" s="213"/>
      <c r="I39" s="213"/>
      <c r="J39" s="42"/>
      <c r="K39" s="3575"/>
      <c r="L39" s="3575"/>
      <c r="M39" s="3575"/>
      <c r="N39" s="3575"/>
      <c r="P39" s="3515" t="s">
        <v>4530</v>
      </c>
      <c r="Q39" s="3515"/>
    </row>
    <row r="40" spans="1:295" s="82" customFormat="1" ht="10.5" customHeight="1">
      <c r="D40" s="590" t="s">
        <v>2634</v>
      </c>
      <c r="E40" s="35"/>
      <c r="F40" s="591" t="s">
        <v>3338</v>
      </c>
      <c r="G40" s="3576" t="s">
        <v>4454</v>
      </c>
      <c r="H40" s="3576"/>
      <c r="I40" s="3576"/>
      <c r="J40" s="35"/>
      <c r="K40" s="591" t="s">
        <v>3338</v>
      </c>
      <c r="L40" s="3576" t="s">
        <v>4453</v>
      </c>
      <c r="M40" s="3576"/>
      <c r="N40" s="3576"/>
      <c r="O40" s="35"/>
      <c r="P40" s="3515"/>
      <c r="Q40" s="351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57" t="s">
        <v>3252</v>
      </c>
      <c r="B41" s="3557"/>
      <c r="C41" s="3557"/>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510" t="str">
        <f>IF(F41="","",F41*G41)</f>
        <v/>
      </c>
      <c r="J41" s="42"/>
      <c r="K41" s="1509" t="str">
        <f>IF('Part VI-Revenues &amp; Expenses'!$K$150 =0,"",'Part VI-Revenues &amp; Expenses'!$K$150)</f>
        <v/>
      </c>
      <c r="L41" s="824">
        <f>G41*(1+'DCA Underwriting Assumptions'!$Q$12)</f>
        <v>187326.48</v>
      </c>
      <c r="M41" s="40" t="str">
        <f>CONCATENATE("x ", K41," units = ")</f>
        <v xml:space="preserve">x  units = </v>
      </c>
      <c r="N41" s="1510" t="str">
        <f>IF(K41="","",K41*L41)</f>
        <v/>
      </c>
      <c r="O41" s="2381"/>
      <c r="P41" s="3516"/>
      <c r="Q41" s="351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57"/>
      <c r="B42" s="3557"/>
      <c r="C42" s="3557"/>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232361.52499999999</v>
      </c>
      <c r="M42" s="40" t="str">
        <f>CONCATENATE("x ", K42," units = ")</f>
        <v xml:space="preserve">x  units = </v>
      </c>
      <c r="N42" s="1510" t="str">
        <f>IF(K42="","",K42*L42)</f>
        <v/>
      </c>
      <c r="O42" s="2381"/>
      <c r="P42" s="3577" t="str">
        <f>IF('Part I-Project Information'!$F$38="","",VLOOKUP('Part I-Project Information'!$J$39,'DCA Underwriting Assumptions'!$G$173:$N$332,8,FALSE))</f>
        <v>Athens</v>
      </c>
      <c r="Q42" s="3578"/>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57"/>
      <c r="B43" s="3557"/>
      <c r="C43" s="3557"/>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278101.39500000002</v>
      </c>
      <c r="M43" s="40" t="str">
        <f>CONCATENATE("x ", K43," units = ")</f>
        <v xml:space="preserve">x  units = </v>
      </c>
      <c r="N43" s="1510" t="str">
        <f>IF(K43="","",K43*L43)</f>
        <v/>
      </c>
      <c r="O43" s="2381"/>
      <c r="P43" s="3579"/>
      <c r="Q43" s="3580"/>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57"/>
      <c r="B44" s="3557"/>
      <c r="C44" s="3557"/>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510" t="str">
        <f>IF(F44="","",F44*G44)</f>
        <v/>
      </c>
      <c r="J44" s="42"/>
      <c r="K44" s="1509" t="str">
        <f>IF('Part VI-Revenues &amp; Expenses'!$N$150 =0,"",'Part VI-Revenues &amp; Expenses'!$N$150)</f>
        <v/>
      </c>
      <c r="L44" s="824">
        <f>G44*(1+'DCA Underwriting Assumptions'!$Q$12)</f>
        <v>317247.4800000001</v>
      </c>
      <c r="M44" s="40" t="str">
        <f>CONCATENATE("x ", K44," units = ")</f>
        <v xml:space="preserve">x  units = </v>
      </c>
      <c r="N44" s="1510" t="str">
        <f>IF(K44="","",K44*L44)</f>
        <v/>
      </c>
      <c r="O44" s="2381"/>
      <c r="P44" s="3427" t="s">
        <v>4531</v>
      </c>
      <c r="Q44" s="342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510" t="str">
        <f>IF(F45="","",F45*G45)</f>
        <v/>
      </c>
      <c r="J45" s="42"/>
      <c r="K45" s="1509" t="str">
        <f>IF('Part VI-Revenues &amp; Expenses'!$O$150 =0,"",'Part VI-Revenues &amp; Expenses'!$O$150)</f>
        <v/>
      </c>
      <c r="L45" s="824">
        <f>G45*(1+'DCA Underwriting Assumptions'!$Q$12)</f>
        <v>373925.09000000008</v>
      </c>
      <c r="M45" s="40" t="str">
        <f>CONCATENATE("x ", K45," units = ")</f>
        <v xml:space="preserve">x  units = </v>
      </c>
      <c r="N45" s="1510" t="str">
        <f>IF(K45="","",K45*L45)</f>
        <v/>
      </c>
      <c r="O45" s="2381"/>
      <c r="P45" s="3513">
        <f>'Part IV-A-Uses of Funds'!$G$132</f>
        <v>11974075</v>
      </c>
      <c r="Q45" s="351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81"/>
      <c r="P46" s="3427" t="s">
        <v>4516</v>
      </c>
      <c r="Q46" s="3427"/>
      <c r="R46" s="3424" t="s">
        <v>4532</v>
      </c>
      <c r="S46" s="3424"/>
      <c r="T46" s="3424"/>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4"/>
      <c r="J47" s="127"/>
      <c r="K47" s="593"/>
      <c r="L47" s="127"/>
      <c r="M47" s="2381"/>
      <c r="N47" s="2384"/>
      <c r="O47" s="238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57" t="s">
        <v>3247</v>
      </c>
      <c r="B48" s="3557"/>
      <c r="C48" s="3557"/>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160686.24000000002</v>
      </c>
      <c r="M48" s="40" t="str">
        <f>CONCATENATE("x ", K48," units = ")</f>
        <v xml:space="preserve">x  units = </v>
      </c>
      <c r="N48" s="1510" t="str">
        <f>IF(K48="","",K48*L48)</f>
        <v/>
      </c>
      <c r="P48" s="3513">
        <f>'Part IV-A-Uses of Funds'!$G$132-'Part IV-A-Uses of Funds'!$G$83-'Part IV-A-Uses of Funds'!$G$105-'Part IV-A-Uses of Funds'!$G$121-'Part IV-A-Uses of Funds'!$G$122-'Part IV-A-Uses of Funds'!$G$123</f>
        <v>11540990</v>
      </c>
      <c r="Q48" s="351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57"/>
      <c r="B49" s="3557"/>
      <c r="C49" s="3557"/>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201233.66999999998</v>
      </c>
      <c r="M49" s="40" t="str">
        <f>CONCATENATE("x ", K49," units = ")</f>
        <v xml:space="preserve">x  units = </v>
      </c>
      <c r="N49" s="1510" t="str">
        <f>IF(K49="","",K49*L49)</f>
        <v/>
      </c>
      <c r="P49" s="3253" t="s">
        <v>3774</v>
      </c>
      <c r="Q49" s="3253"/>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57"/>
      <c r="B50" s="3557"/>
      <c r="C50" s="3557"/>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units = </v>
      </c>
      <c r="I50" s="1510" t="str">
        <f>IF(F50="","",F50*G50)</f>
        <v/>
      </c>
      <c r="J50" s="42"/>
      <c r="K50" s="1509" t="str">
        <f>IF('Part VI-Revenues &amp; Expenses'!$M$152 =0,"",'Part VI-Revenues &amp; Expenses'!$M$152)</f>
        <v/>
      </c>
      <c r="L50" s="824">
        <f>G50*(1+'DCA Underwriting Assumptions'!$Q$12)</f>
        <v>244012.17499999999</v>
      </c>
      <c r="M50" s="40" t="str">
        <f>CONCATENATE("x ", K50," units = ")</f>
        <v xml:space="preserve">x  units = </v>
      </c>
      <c r="N50" s="1510" t="str">
        <f>IF(K50="","",K50*L50)</f>
        <v/>
      </c>
      <c r="O50" s="540"/>
      <c r="P50" s="3581"/>
      <c r="Q50" s="3582"/>
      <c r="R50" s="404"/>
      <c r="S50" s="3528" t="s">
        <v>4519</v>
      </c>
      <c r="T50" s="3529"/>
      <c r="U50" s="3529"/>
      <c r="V50" s="3530"/>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285128.03000000003</v>
      </c>
      <c r="M51" s="40" t="str">
        <f>CONCATENATE("x ", K51," units = ")</f>
        <v xml:space="preserve">x  units = </v>
      </c>
      <c r="N51" s="1510" t="str">
        <f>IF(K51="","",K51*L51)</f>
        <v/>
      </c>
      <c r="O51" s="540"/>
      <c r="P51" s="3583"/>
      <c r="Q51" s="3584"/>
      <c r="S51" s="3531"/>
      <c r="T51" s="3532"/>
      <c r="U51" s="3532"/>
      <c r="V51" s="3533"/>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510" t="str">
        <f>IF(F52="","",F52*G52)</f>
        <v/>
      </c>
      <c r="J52" s="42"/>
      <c r="K52" s="1509" t="str">
        <f>IF('Part VI-Revenues &amp; Expenses'!$O$152 =0,"",'Part VI-Revenues &amp; Expenses'!$O$152)</f>
        <v/>
      </c>
      <c r="L52" s="824">
        <f>G52*(1+'DCA Underwriting Assumptions'!$Q$12)</f>
        <v>338372.87000000005</v>
      </c>
      <c r="M52" s="40" t="str">
        <f>CONCATENATE("x ", K52," units = ")</f>
        <v xml:space="preserve">x  units = </v>
      </c>
      <c r="N52" s="1510" t="str">
        <f>IF(K52="","",K52*L52)</f>
        <v/>
      </c>
      <c r="O52" s="540"/>
      <c r="P52" s="3545" t="s">
        <v>3464</v>
      </c>
      <c r="Q52" s="3545"/>
      <c r="S52" s="3531"/>
      <c r="T52" s="3532"/>
      <c r="U52" s="3532"/>
      <c r="V52" s="3533"/>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3531"/>
      <c r="T53" s="3532"/>
      <c r="U53" s="3532"/>
      <c r="V53" s="3533"/>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4"/>
      <c r="J54" s="35"/>
      <c r="K54" s="593"/>
      <c r="L54" s="35"/>
      <c r="M54" s="2381"/>
      <c r="N54" s="2384"/>
      <c r="O54" s="540"/>
      <c r="R54" s="404"/>
      <c r="S54" s="3531"/>
      <c r="T54" s="3532"/>
      <c r="U54" s="3532"/>
      <c r="V54" s="3533"/>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510" t="str">
        <f>IF(F55="","",F55*G55)</f>
        <v/>
      </c>
      <c r="J55" s="42"/>
      <c r="K55" s="1509" t="str">
        <f>IF('Part VI-Revenues &amp; Expenses'!$K$154 =0,"",'Part VI-Revenues &amp; Expenses'!$K$154)</f>
        <v/>
      </c>
      <c r="L55" s="824">
        <f>G55*(1+'DCA Underwriting Assumptions'!$Q$12)</f>
        <v>140745</v>
      </c>
      <c r="M55" s="40" t="str">
        <f>CONCATENATE("x ", K55," units = ")</f>
        <v xml:space="preserve">x  units = </v>
      </c>
      <c r="N55" s="1510" t="str">
        <f>IF(K55="","",K55*L55)</f>
        <v/>
      </c>
      <c r="O55" s="540"/>
      <c r="P55" s="1051">
        <f>'Part IX Scoring Criteria'!O415</f>
        <v>0</v>
      </c>
      <c r="Q55" s="1051">
        <f>'Part IX Scoring Criteria'!P415</f>
        <v>0</v>
      </c>
      <c r="R55" s="404"/>
      <c r="S55" s="3531"/>
      <c r="T55" s="3532"/>
      <c r="U55" s="3532"/>
      <c r="V55" s="3533"/>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8 units = </v>
      </c>
      <c r="I56" s="1510">
        <f>IF(F56="","",F56*G56)</f>
        <v>1338554</v>
      </c>
      <c r="J56" s="42"/>
      <c r="K56" s="1509" t="str">
        <f>IF('Part VI-Revenues &amp; Expenses'!$L$154 =0,"",'Part VI-Revenues &amp; Expenses'!$L$154)</f>
        <v/>
      </c>
      <c r="L56" s="824">
        <f>G56*(1+'DCA Underwriting Assumptions'!$Q$12)</f>
        <v>184051.17500000002</v>
      </c>
      <c r="M56" s="40" t="str">
        <f>CONCATENATE("x ", K56," units = ")</f>
        <v xml:space="preserve">x  units = </v>
      </c>
      <c r="N56" s="1510" t="str">
        <f>IF(K56="","",K56*L56)</f>
        <v/>
      </c>
      <c r="P56" s="3545" t="s">
        <v>3465</v>
      </c>
      <c r="Q56" s="3545"/>
      <c r="S56" s="3531"/>
      <c r="T56" s="3532"/>
      <c r="U56" s="3532"/>
      <c r="V56" s="3533"/>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f>IF('Part VI-Revenues &amp; Expenses'!$M$153 =0,"",'Part VI-Revenues &amp; Expenses'!$M$153)</f>
        <v>36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36 units = </v>
      </c>
      <c r="I57" s="1510">
        <f>IF(F57="","",F57*G57)</f>
        <v>7620911.9999999991</v>
      </c>
      <c r="J57" s="42"/>
      <c r="K57" s="1509" t="str">
        <f>IF('Part VI-Revenues &amp; Expenses'!$M$154 =0,"",'Part VI-Revenues &amp; Expenses'!$M$154)</f>
        <v/>
      </c>
      <c r="L57" s="824">
        <f>G57*(1+'DCA Underwriting Assumptions'!$Q$12)</f>
        <v>232861.19999999998</v>
      </c>
      <c r="M57" s="40" t="str">
        <f>CONCATENATE("x ", K57," units = ")</f>
        <v xml:space="preserve">x  units = </v>
      </c>
      <c r="N57" s="1510" t="str">
        <f>IF(K57="","",K57*L57)</f>
        <v/>
      </c>
      <c r="P57" s="1052" t="s">
        <v>3141</v>
      </c>
      <c r="Q57" s="1052" t="s">
        <v>251</v>
      </c>
      <c r="S57" s="3531"/>
      <c r="T57" s="3532"/>
      <c r="U57" s="3532"/>
      <c r="V57" s="3533"/>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f>IF('Part VI-Revenues &amp; Expenses'!$N$153 =0,"",'Part VI-Revenues &amp; Expenses'!$N$153)</f>
        <v>16</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16 units = </v>
      </c>
      <c r="I58" s="1510">
        <f>IF(F58="","",F58*G58)</f>
        <v>4267401.6000000006</v>
      </c>
      <c r="J58" s="42"/>
      <c r="K58" s="1509" t="str">
        <f>IF('Part VI-Revenues &amp; Expenses'!$N$154 =0,"",'Part VI-Revenues &amp; Expenses'!$N$154)</f>
        <v/>
      </c>
      <c r="L58" s="824">
        <f>G58*(1+'DCA Underwriting Assumptions'!$Q$12)</f>
        <v>293383.86000000004</v>
      </c>
      <c r="M58" s="40" t="str">
        <f>CONCATENATE("x ", K58," units = ")</f>
        <v xml:space="preserve">x  units = </v>
      </c>
      <c r="N58" s="1510" t="str">
        <f>IF(K58="","",K58*L58)</f>
        <v/>
      </c>
      <c r="O58" s="540"/>
      <c r="P58" s="1051">
        <f>'Part IX Scoring Criteria'!O74</f>
        <v>1</v>
      </c>
      <c r="Q58" s="1051">
        <f>'Part IX Scoring Criteria'!P74</f>
        <v>0</v>
      </c>
      <c r="S58" s="3531"/>
      <c r="T58" s="3532"/>
      <c r="U58" s="3532"/>
      <c r="V58" s="3533"/>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363555.39000000007</v>
      </c>
      <c r="M59" s="40" t="str">
        <f>CONCATENATE("x ", K59," units = ")</f>
        <v xml:space="preserve">x  units = </v>
      </c>
      <c r="N59" s="1510" t="str">
        <f>IF(K59="","",K59*L59)</f>
        <v/>
      </c>
      <c r="O59" s="540"/>
      <c r="P59" s="3550" t="s">
        <v>2679</v>
      </c>
      <c r="Q59" s="3550"/>
      <c r="S59" s="3531"/>
      <c r="T59" s="3532"/>
      <c r="U59" s="3532"/>
      <c r="V59" s="3533"/>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60</v>
      </c>
      <c r="G60" s="592"/>
      <c r="H60" s="1045"/>
      <c r="I60" s="1046">
        <f>SUM(I55:I59)</f>
        <v>13226867.600000001</v>
      </c>
      <c r="J60" s="1047"/>
      <c r="K60" s="1044">
        <f>SUM(K55:K59)</f>
        <v>0</v>
      </c>
      <c r="L60" s="1047"/>
      <c r="M60" s="1045"/>
      <c r="N60" s="1046">
        <f>SUM(N55:N59)</f>
        <v>0</v>
      </c>
      <c r="O60" s="540"/>
      <c r="P60" s="3550"/>
      <c r="Q60" s="3550"/>
      <c r="S60" s="3531"/>
      <c r="T60" s="3532"/>
      <c r="U60" s="3532"/>
      <c r="V60" s="3533"/>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4"/>
      <c r="J61" s="35"/>
      <c r="K61" s="593"/>
      <c r="L61" s="35"/>
      <c r="M61" s="2381"/>
      <c r="N61" s="2384"/>
      <c r="O61" s="540"/>
      <c r="P61" s="3550"/>
      <c r="Q61" s="3550"/>
      <c r="R61" s="404"/>
      <c r="S61" s="3531"/>
      <c r="T61" s="3532"/>
      <c r="U61" s="3532"/>
      <c r="V61" s="3533"/>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510" t="str">
        <f>IF(F62="","",F62*G62)</f>
        <v/>
      </c>
      <c r="J62" s="42"/>
      <c r="K62" s="1509" t="str">
        <f>IF('Part VI-Revenues &amp; Expenses'!$K$156 =0,"",'Part VI-Revenues &amp; Expenses'!$K$156)</f>
        <v/>
      </c>
      <c r="L62" s="824">
        <f>G62*(1+'DCA Underwriting Assumptions'!$Q$12)</f>
        <v>146025</v>
      </c>
      <c r="M62" s="40" t="str">
        <f>CONCATENATE("x ", K62," units = ")</f>
        <v xml:space="preserve">x  units = </v>
      </c>
      <c r="N62" s="1510" t="str">
        <f>IF(K62="","",K62*L62)</f>
        <v/>
      </c>
      <c r="O62" s="540"/>
      <c r="P62" s="3551"/>
      <c r="Q62" s="3551"/>
      <c r="R62" s="404"/>
      <c r="S62" s="3534"/>
      <c r="T62" s="3535"/>
      <c r="U62" s="3535"/>
      <c r="V62" s="3536"/>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195915.61</v>
      </c>
      <c r="M63" s="40" t="str">
        <f>CONCATENATE("x ", K63," units = ")</f>
        <v xml:space="preserve">x  units = </v>
      </c>
      <c r="N63" s="1510" t="str">
        <f>IF(K63="","",K63*L63)</f>
        <v/>
      </c>
      <c r="O63" s="540"/>
      <c r="P63" s="3552">
        <f>IF(P50&gt;1,P50, IF(OR('Part IX Scoring Criteria'!$O$74='Part IX Scoring Criteria'!$M$74,AND('Part IV-A-Uses of Funds'!$T$172="Yes",'Part IX Scoring Criteria'!$O$415&gt;0)),H69+M69,H69))</f>
        <v>13226867.600000001</v>
      </c>
      <c r="Q63" s="3553"/>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251891.86</v>
      </c>
      <c r="M64" s="40" t="str">
        <f>CONCATENATE("x ", K64," units = ")</f>
        <v xml:space="preserve">x  units = </v>
      </c>
      <c r="N64" s="1510" t="str">
        <f>IF(K64="","",K64*L64)</f>
        <v/>
      </c>
      <c r="P64" s="3554"/>
      <c r="Q64" s="3555"/>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units = </v>
      </c>
      <c r="I65" s="1510" t="str">
        <f>IF(F65="","",F65*G65)</f>
        <v/>
      </c>
      <c r="J65" s="42"/>
      <c r="K65" s="1509" t="str">
        <f>IF('Part VI-Revenues &amp; Expenses'!$N$156 =0,"",'Part VI-Revenues &amp; Expenses'!$N$156)</f>
        <v/>
      </c>
      <c r="L65" s="824">
        <f>G65*(1+'DCA Underwriting Assumptions'!$Q$12)</f>
        <v>321253.79000000004</v>
      </c>
      <c r="M65" s="40" t="str">
        <f>CONCATENATE("x ", K65," units = ")</f>
        <v xml:space="preserve">x  units = </v>
      </c>
      <c r="N65" s="1510" t="str">
        <f>IF(K65="","",K65*L65)</f>
        <v/>
      </c>
      <c r="P65" s="3541" t="s">
        <v>3879</v>
      </c>
      <c r="Q65" s="3541"/>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510" t="str">
        <f>IF(F66="","",F66*G66)</f>
        <v/>
      </c>
      <c r="J66" s="42"/>
      <c r="K66" s="1509" t="str">
        <f>IF('Part VI-Revenues &amp; Expenses'!$O$156 =0,"",'Part VI-Revenues &amp; Expenses'!$O$156)</f>
        <v/>
      </c>
      <c r="L66" s="824">
        <f>G66*(1+'DCA Underwriting Assumptions'!$Q$12)</f>
        <v>401567.54000000004</v>
      </c>
      <c r="M66" s="40" t="str">
        <f>CONCATENATE("x ", K66," units = ")</f>
        <v xml:space="preserve">x  units = </v>
      </c>
      <c r="N66" s="1510" t="str">
        <f>IF(K66="","",K66*L66)</f>
        <v/>
      </c>
      <c r="O66" s="540"/>
      <c r="P66" s="3542"/>
      <c r="Q66" s="3542"/>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0</v>
      </c>
      <c r="G67" s="592"/>
      <c r="H67" s="1045"/>
      <c r="I67" s="1048">
        <f>SUM(I62:I66)</f>
        <v>0</v>
      </c>
      <c r="J67" s="1047"/>
      <c r="K67" s="1044">
        <f>SUM(K62:K66)</f>
        <v>0</v>
      </c>
      <c r="L67" s="1047"/>
      <c r="M67" s="1045"/>
      <c r="N67" s="1048">
        <f>SUM(N62:N66)</f>
        <v>0</v>
      </c>
      <c r="O67" s="540"/>
      <c r="P67" s="3542"/>
      <c r="Q67" s="3542"/>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9"/>
      <c r="O68" s="540"/>
      <c r="P68" s="3542"/>
      <c r="Q68" s="3542"/>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60</v>
      </c>
      <c r="G69" s="329"/>
      <c r="H69" s="3544">
        <f>I46+I53+I60+I67</f>
        <v>13226867.600000001</v>
      </c>
      <c r="I69" s="3544"/>
      <c r="J69" s="3544"/>
      <c r="K69" s="583">
        <f>K46+K53+K60+K67</f>
        <v>0</v>
      </c>
      <c r="L69" s="584"/>
      <c r="M69" s="3544">
        <f>N46+N53+N60+N67</f>
        <v>0</v>
      </c>
      <c r="N69" s="3544"/>
      <c r="O69" s="3544"/>
      <c r="P69" s="3542"/>
      <c r="Q69" s="3542"/>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9"/>
      <c r="J70" s="2399"/>
      <c r="K70" s="136" t="s">
        <v>1820</v>
      </c>
      <c r="L70" s="2375"/>
      <c r="M70" s="2375"/>
      <c r="N70" s="2375"/>
      <c r="O70" s="2375"/>
      <c r="P70" s="3543"/>
      <c r="Q70" s="3543"/>
    </row>
    <row r="71" spans="1:295" ht="30" customHeight="1">
      <c r="A71" s="3439" t="s">
        <v>7084</v>
      </c>
      <c r="B71" s="3440"/>
      <c r="C71" s="3440"/>
      <c r="D71" s="3440"/>
      <c r="E71" s="3440"/>
      <c r="F71" s="3440"/>
      <c r="G71" s="3440"/>
      <c r="H71" s="3440"/>
      <c r="I71" s="3440"/>
      <c r="J71" s="3441"/>
      <c r="K71" s="3433"/>
      <c r="L71" s="3434"/>
      <c r="M71" s="3434"/>
      <c r="N71" s="3434"/>
      <c r="O71" s="3434"/>
      <c r="P71" s="3434"/>
      <c r="Q71" s="3435"/>
      <c r="R71" s="440" t="s">
        <v>1228</v>
      </c>
      <c r="U71" s="135"/>
      <c r="V71" s="135"/>
      <c r="W71" s="135"/>
      <c r="X71" s="135"/>
      <c r="Y71" s="135"/>
      <c r="Z71" s="135"/>
      <c r="AA71" s="135"/>
      <c r="AB71" s="135"/>
      <c r="AC71" s="135"/>
      <c r="AD71" s="135"/>
      <c r="AE71" s="457"/>
    </row>
    <row r="72" spans="1:295" ht="3" customHeight="1">
      <c r="B72" s="2399"/>
      <c r="C72" s="2381"/>
      <c r="D72" s="2381"/>
      <c r="E72" s="2381"/>
      <c r="F72" s="2381"/>
      <c r="G72" s="2381"/>
      <c r="H72" s="2381"/>
      <c r="I72" s="2381"/>
      <c r="J72" s="2381"/>
      <c r="K72" s="2381"/>
      <c r="L72" s="2381"/>
      <c r="M72" s="2381"/>
      <c r="N72" s="2381"/>
      <c r="O72" s="2381"/>
      <c r="P72" s="2381"/>
      <c r="Q72" s="2375"/>
    </row>
    <row r="73" spans="1:295" ht="12.75" customHeight="1">
      <c r="A73" s="2373" t="s">
        <v>724</v>
      </c>
      <c r="B73" s="4" t="s">
        <v>1166</v>
      </c>
      <c r="C73" s="4"/>
      <c r="D73" s="4"/>
      <c r="E73" s="2381"/>
      <c r="F73" s="2381"/>
      <c r="G73" s="139" t="s">
        <v>4555</v>
      </c>
      <c r="H73" s="2381"/>
      <c r="J73" s="3546" t="str">
        <f>'Part I-Project Information'!$H$82</f>
        <v>Family</v>
      </c>
      <c r="K73" s="3546"/>
      <c r="L73" s="3546"/>
      <c r="O73" s="131" t="s">
        <v>1821</v>
      </c>
      <c r="P73" s="3442"/>
      <c r="Q73" s="3429"/>
    </row>
    <row r="74" spans="1:295" ht="10.5" customHeight="1">
      <c r="B74" s="95" t="s">
        <v>3566</v>
      </c>
      <c r="D74" s="95"/>
      <c r="E74" s="95"/>
      <c r="F74" s="95"/>
      <c r="G74" s="95"/>
      <c r="H74" s="40"/>
      <c r="I74" s="2399"/>
      <c r="J74" s="2399"/>
      <c r="K74" s="136" t="s">
        <v>1820</v>
      </c>
      <c r="L74" s="2375"/>
      <c r="M74" s="2375"/>
      <c r="N74" s="2375"/>
      <c r="O74" s="2375"/>
      <c r="P74" s="2375"/>
      <c r="Q74" s="855"/>
    </row>
    <row r="75" spans="1:295" ht="35.25" customHeight="1">
      <c r="A75" s="3439" t="s">
        <v>7128</v>
      </c>
      <c r="B75" s="3440"/>
      <c r="C75" s="3440"/>
      <c r="D75" s="3440"/>
      <c r="E75" s="3440"/>
      <c r="F75" s="3440"/>
      <c r="G75" s="3440"/>
      <c r="H75" s="3440"/>
      <c r="I75" s="3440"/>
      <c r="J75" s="3441"/>
      <c r="K75" s="3433"/>
      <c r="L75" s="3434"/>
      <c r="M75" s="3434"/>
      <c r="N75" s="3434"/>
      <c r="O75" s="3434"/>
      <c r="P75" s="3434"/>
      <c r="Q75" s="3435"/>
      <c r="R75" s="440" t="s">
        <v>1228</v>
      </c>
      <c r="U75" s="135"/>
      <c r="V75" s="135"/>
      <c r="W75" s="135"/>
      <c r="X75" s="135"/>
      <c r="Y75" s="135"/>
      <c r="Z75" s="135"/>
      <c r="AA75" s="135"/>
      <c r="AB75" s="135"/>
      <c r="AC75" s="135"/>
      <c r="AD75" s="135"/>
      <c r="AE75" s="457"/>
    </row>
    <row r="76" spans="1:295" ht="3" customHeight="1">
      <c r="A76" s="2375"/>
      <c r="B76" s="2399"/>
      <c r="C76" s="2381"/>
      <c r="D76" s="2381"/>
      <c r="E76" s="2381"/>
      <c r="F76" s="2381"/>
      <c r="G76" s="2381"/>
      <c r="H76" s="2381"/>
      <c r="I76" s="2381"/>
      <c r="J76" s="2381"/>
      <c r="K76" s="2381"/>
      <c r="L76" s="2381"/>
      <c r="M76" s="2381"/>
      <c r="N76" s="2381"/>
      <c r="O76" s="2381"/>
      <c r="P76" s="2381"/>
      <c r="Q76" s="2375"/>
    </row>
    <row r="77" spans="1:295" ht="12.75" customHeight="1">
      <c r="A77" s="2373" t="s">
        <v>1748</v>
      </c>
      <c r="B77" s="2373" t="s">
        <v>2580</v>
      </c>
      <c r="C77" s="113"/>
      <c r="D77" s="2381"/>
      <c r="E77" s="2381"/>
      <c r="F77" s="2381"/>
      <c r="G77" s="2381"/>
      <c r="H77" s="2381"/>
      <c r="I77" s="2381"/>
      <c r="J77" s="2381"/>
      <c r="L77" s="1594" t="s">
        <v>4251</v>
      </c>
      <c r="M77" s="1595" t="s">
        <v>4252</v>
      </c>
      <c r="O77" s="131" t="s">
        <v>1821</v>
      </c>
      <c r="P77" s="3442"/>
      <c r="Q77" s="3429"/>
    </row>
    <row r="78" spans="1:295" ht="1.5" customHeight="1"/>
    <row r="79" spans="1:295" ht="12" customHeight="1">
      <c r="A79" s="141" t="s">
        <v>1936</v>
      </c>
      <c r="B79" s="3451" t="s">
        <v>4244</v>
      </c>
      <c r="C79" s="3451"/>
      <c r="D79" s="3451"/>
      <c r="E79" s="3451"/>
      <c r="F79" s="3451"/>
      <c r="G79" s="3451"/>
      <c r="H79" s="3451"/>
      <c r="I79" s="3451"/>
      <c r="J79" s="3451"/>
      <c r="K79" s="147"/>
      <c r="L79" s="429" t="s">
        <v>2808</v>
      </c>
      <c r="M79" s="1463">
        <v>2</v>
      </c>
      <c r="N79" s="389" t="s">
        <v>4700</v>
      </c>
      <c r="P79" s="3547" t="s">
        <v>7038</v>
      </c>
      <c r="Q79" s="3437"/>
    </row>
    <row r="80" spans="1:295" ht="12" customHeight="1">
      <c r="A80" s="141"/>
      <c r="B80" s="3451"/>
      <c r="C80" s="3451"/>
      <c r="D80" s="3451"/>
      <c r="E80" s="3451"/>
      <c r="F80" s="3451"/>
      <c r="G80" s="3451"/>
      <c r="H80" s="3451"/>
      <c r="I80" s="3451"/>
      <c r="J80" s="3451"/>
      <c r="K80" s="147"/>
      <c r="L80" s="429" t="s">
        <v>4250</v>
      </c>
      <c r="M80" s="1464">
        <v>4</v>
      </c>
      <c r="O80" s="142"/>
      <c r="P80" s="3548"/>
      <c r="Q80" s="3438"/>
    </row>
    <row r="81" spans="1:31" ht="12" customHeight="1">
      <c r="A81" s="47" t="s">
        <v>1938</v>
      </c>
      <c r="B81" s="389" t="s">
        <v>4253</v>
      </c>
      <c r="C81" s="389"/>
      <c r="D81" s="389"/>
      <c r="E81" s="389"/>
      <c r="F81" s="389"/>
      <c r="G81" s="389"/>
      <c r="H81" s="389"/>
      <c r="I81" s="389"/>
      <c r="J81" s="389"/>
      <c r="K81" s="563"/>
      <c r="L81" s="389"/>
      <c r="M81" s="147"/>
      <c r="N81" s="897"/>
      <c r="O81" s="897"/>
      <c r="P81" s="897"/>
    </row>
    <row r="82" spans="1:31" ht="12" customHeight="1">
      <c r="A82" s="1412"/>
      <c r="B82" s="1488" t="s">
        <v>1694</v>
      </c>
      <c r="C82" s="389" t="s">
        <v>4257</v>
      </c>
      <c r="D82" s="1414"/>
      <c r="E82" s="1414"/>
      <c r="F82" s="1414"/>
      <c r="G82" s="1414"/>
      <c r="H82" s="1414"/>
      <c r="I82" s="1414"/>
      <c r="J82" s="1414"/>
      <c r="K82" s="1413"/>
      <c r="L82" s="896"/>
      <c r="N82" s="389" t="s">
        <v>4701</v>
      </c>
      <c r="O82" s="897"/>
      <c r="P82" s="2256" t="s">
        <v>7039</v>
      </c>
      <c r="Q82" s="518"/>
    </row>
    <row r="83" spans="1:31" ht="12" customHeight="1">
      <c r="A83" s="1412"/>
      <c r="B83" s="1488" t="s">
        <v>1695</v>
      </c>
      <c r="C83" s="389" t="s">
        <v>4254</v>
      </c>
      <c r="D83" s="1414"/>
      <c r="E83" s="1414"/>
      <c r="F83" s="1414"/>
      <c r="G83" s="1414"/>
      <c r="H83" s="1414"/>
      <c r="I83" s="1414"/>
      <c r="J83" s="1414"/>
      <c r="K83" s="1413"/>
      <c r="L83" s="896"/>
      <c r="N83" s="389" t="s">
        <v>4702</v>
      </c>
      <c r="O83" s="897"/>
      <c r="P83" s="2257" t="s">
        <v>7039</v>
      </c>
      <c r="Q83" s="519"/>
    </row>
    <row r="84" spans="1:31" ht="12" customHeight="1">
      <c r="A84" s="1411"/>
      <c r="B84" s="468" t="s">
        <v>1696</v>
      </c>
      <c r="C84" s="389" t="s">
        <v>4255</v>
      </c>
      <c r="E84" s="1414"/>
      <c r="F84" s="1414"/>
      <c r="G84" s="1414"/>
      <c r="H84" s="1414"/>
      <c r="I84" s="1414"/>
      <c r="J84" s="1414"/>
      <c r="K84" s="1413"/>
      <c r="L84" s="896"/>
      <c r="M84" s="897"/>
      <c r="N84" s="389" t="s">
        <v>4703</v>
      </c>
      <c r="O84" s="897"/>
      <c r="P84" s="2257" t="s">
        <v>7039</v>
      </c>
      <c r="Q84" s="519"/>
    </row>
    <row r="85" spans="1:31" ht="11.1" customHeight="1">
      <c r="A85" s="143"/>
      <c r="B85" s="468" t="s">
        <v>2305</v>
      </c>
      <c r="C85" s="468" t="s">
        <v>4258</v>
      </c>
      <c r="D85" s="133"/>
      <c r="E85" s="133"/>
      <c r="F85" s="133"/>
      <c r="G85" s="133"/>
      <c r="H85" s="133"/>
      <c r="I85" s="42"/>
      <c r="J85" s="42"/>
      <c r="N85" s="389" t="s">
        <v>4704</v>
      </c>
      <c r="O85" s="897"/>
      <c r="P85" s="2258" t="s">
        <v>7039</v>
      </c>
      <c r="Q85" s="520"/>
    </row>
    <row r="86" spans="1:31" ht="11.1" customHeight="1">
      <c r="A86" s="143"/>
      <c r="B86" s="468"/>
      <c r="C86" s="389" t="s">
        <v>4259</v>
      </c>
      <c r="D86" s="133"/>
      <c r="E86" s="133"/>
      <c r="F86" s="133"/>
      <c r="G86" s="133"/>
      <c r="H86" s="133"/>
      <c r="I86" s="42"/>
      <c r="J86" s="42"/>
      <c r="L86" s="3430"/>
      <c r="M86" s="3431"/>
      <c r="N86" s="3431"/>
      <c r="O86" s="3431"/>
      <c r="P86" s="3431"/>
      <c r="Q86" s="3432"/>
    </row>
    <row r="87" spans="1:31" ht="11.25" customHeight="1">
      <c r="A87" s="143"/>
      <c r="B87" s="468" t="s">
        <v>1516</v>
      </c>
      <c r="C87" s="3451" t="s">
        <v>4256</v>
      </c>
      <c r="D87" s="3451"/>
      <c r="E87" s="3451"/>
      <c r="F87" s="3451"/>
      <c r="G87" s="3451"/>
      <c r="H87" s="3451"/>
      <c r="I87" s="3451"/>
      <c r="J87" s="3451"/>
      <c r="K87" s="3451"/>
      <c r="L87" s="3451"/>
      <c r="M87" s="515"/>
      <c r="N87" s="389" t="s">
        <v>4705</v>
      </c>
      <c r="O87" s="897"/>
      <c r="P87" s="2259" t="s">
        <v>7038</v>
      </c>
      <c r="Q87" s="517"/>
    </row>
    <row r="88" spans="1:31" ht="11.25" customHeight="1">
      <c r="A88" s="47"/>
      <c r="C88" s="3451"/>
      <c r="D88" s="3451"/>
      <c r="E88" s="3451"/>
      <c r="F88" s="3451"/>
      <c r="G88" s="3451"/>
      <c r="H88" s="3451"/>
      <c r="I88" s="3451"/>
      <c r="J88" s="3451"/>
      <c r="K88" s="3451"/>
      <c r="L88" s="3451"/>
      <c r="M88" s="515"/>
    </row>
    <row r="89" spans="1:31" ht="10.5" customHeight="1">
      <c r="B89" s="95" t="s">
        <v>3566</v>
      </c>
      <c r="D89" s="95"/>
      <c r="E89" s="95"/>
      <c r="F89" s="95"/>
      <c r="G89" s="95"/>
      <c r="H89" s="40"/>
      <c r="I89" s="2399"/>
      <c r="J89" s="2399"/>
      <c r="K89" s="136" t="s">
        <v>1820</v>
      </c>
      <c r="L89" s="2375"/>
      <c r="M89" s="2375"/>
      <c r="N89" s="2375"/>
      <c r="O89" s="2375"/>
      <c r="P89" s="2375"/>
      <c r="Q89" s="855"/>
    </row>
    <row r="90" spans="1:31" ht="66.75" customHeight="1">
      <c r="A90" s="3439" t="s">
        <v>7040</v>
      </c>
      <c r="B90" s="3440"/>
      <c r="C90" s="3440"/>
      <c r="D90" s="3440"/>
      <c r="E90" s="3440"/>
      <c r="F90" s="3440"/>
      <c r="G90" s="3440"/>
      <c r="H90" s="3440"/>
      <c r="I90" s="3440"/>
      <c r="J90" s="3441"/>
      <c r="K90" s="3433"/>
      <c r="L90" s="3434"/>
      <c r="M90" s="3434"/>
      <c r="N90" s="3434"/>
      <c r="O90" s="3434"/>
      <c r="P90" s="3434"/>
      <c r="Q90" s="3435"/>
      <c r="R90" s="440" t="s">
        <v>1228</v>
      </c>
      <c r="U90" s="135"/>
      <c r="V90" s="135"/>
      <c r="W90" s="135"/>
      <c r="X90" s="135"/>
      <c r="Y90" s="135"/>
      <c r="Z90" s="135"/>
      <c r="AA90" s="135"/>
      <c r="AB90" s="135"/>
      <c r="AC90" s="135"/>
      <c r="AD90" s="135"/>
      <c r="AE90" s="457"/>
    </row>
    <row r="91" spans="1:31" ht="3" customHeight="1">
      <c r="A91" s="2375"/>
      <c r="B91" s="2399"/>
      <c r="C91" s="2381"/>
      <c r="D91" s="2381"/>
      <c r="E91" s="2381"/>
      <c r="F91" s="2381"/>
      <c r="G91" s="2381"/>
      <c r="H91" s="2381"/>
      <c r="I91" s="2381"/>
      <c r="J91" s="2381"/>
      <c r="K91" s="2381"/>
      <c r="L91" s="2381"/>
      <c r="M91" s="2381"/>
      <c r="N91" s="2381"/>
      <c r="O91" s="2381"/>
      <c r="P91" s="2381"/>
      <c r="Q91" s="2375"/>
    </row>
    <row r="92" spans="1:31" ht="14.1" customHeight="1">
      <c r="A92" s="2373" t="s">
        <v>1750</v>
      </c>
      <c r="B92" s="2373" t="s">
        <v>4694</v>
      </c>
      <c r="C92" s="2373"/>
      <c r="D92" s="2381"/>
      <c r="E92" s="2381"/>
      <c r="F92" s="2381"/>
      <c r="G92" s="2381"/>
      <c r="H92" s="1627" t="str">
        <f>'Part I-Project Information'!$K$40</f>
        <v>Rural</v>
      </c>
      <c r="J92" s="47" t="s">
        <v>4699</v>
      </c>
      <c r="K92" s="587" t="str">
        <f>'Part I-Project Information'!$H$105</f>
        <v>Rural</v>
      </c>
      <c r="L92" s="63" t="s">
        <v>4310</v>
      </c>
      <c r="M92" s="1466" t="str">
        <f>'Part I-Project Information'!$H$82</f>
        <v>Family</v>
      </c>
      <c r="O92" s="131" t="s">
        <v>1821</v>
      </c>
      <c r="P92" s="3442"/>
      <c r="Q92" s="3429"/>
    </row>
    <row r="93" spans="1:31" ht="3" customHeight="1"/>
    <row r="94" spans="1:31" ht="10.5" customHeight="1">
      <c r="A94" s="47" t="s">
        <v>1936</v>
      </c>
      <c r="B94" s="39" t="s">
        <v>2396</v>
      </c>
      <c r="D94" s="133"/>
      <c r="E94" s="133"/>
      <c r="F94" s="133"/>
      <c r="G94" s="133"/>
      <c r="H94" s="133"/>
      <c r="I94" s="42"/>
      <c r="J94" s="42"/>
      <c r="K94" s="42"/>
      <c r="L94" s="455" t="s">
        <v>1936</v>
      </c>
      <c r="M94" s="3521" t="s">
        <v>7041</v>
      </c>
      <c r="N94" s="3522"/>
      <c r="O94" s="3522"/>
      <c r="P94" s="2990"/>
      <c r="Q94" s="518"/>
    </row>
    <row r="95" spans="1:31" ht="10.5" customHeight="1">
      <c r="A95" s="47" t="s">
        <v>1938</v>
      </c>
      <c r="B95" s="52" t="s">
        <v>4556</v>
      </c>
      <c r="D95" s="133"/>
      <c r="E95" s="133"/>
      <c r="F95" s="133"/>
      <c r="L95" s="455" t="s">
        <v>1938</v>
      </c>
      <c r="M95" s="3523" t="s">
        <v>7172</v>
      </c>
      <c r="N95" s="3524"/>
      <c r="O95" s="3524"/>
      <c r="P95" s="3525"/>
      <c r="Q95" s="519"/>
    </row>
    <row r="96" spans="1:31" ht="10.5" customHeight="1">
      <c r="A96" s="47" t="s">
        <v>731</v>
      </c>
      <c r="B96" s="52" t="s">
        <v>2779</v>
      </c>
      <c r="D96" s="133"/>
      <c r="E96" s="133"/>
      <c r="F96" s="133"/>
      <c r="L96" s="455" t="s">
        <v>731</v>
      </c>
      <c r="M96" s="3537">
        <v>0.97599999999999998</v>
      </c>
      <c r="N96" s="3538"/>
      <c r="O96" s="3538"/>
      <c r="P96" s="3539"/>
      <c r="Q96" s="519"/>
    </row>
    <row r="97" spans="1:32" ht="10.5" customHeight="1">
      <c r="A97" s="47" t="s">
        <v>2065</v>
      </c>
      <c r="B97" s="52" t="s">
        <v>3666</v>
      </c>
      <c r="D97" s="133"/>
      <c r="E97" s="133"/>
      <c r="F97" s="133"/>
      <c r="L97" s="455" t="s">
        <v>3667</v>
      </c>
      <c r="M97" s="2260">
        <v>0.10199999999999999</v>
      </c>
      <c r="N97" s="1053"/>
      <c r="O97" s="1054" t="s">
        <v>3806</v>
      </c>
      <c r="P97" s="2261">
        <v>0.10199999999999999</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5" t="s">
        <v>2317</v>
      </c>
      <c r="E99" s="856" t="s">
        <v>599</v>
      </c>
      <c r="F99" s="856"/>
      <c r="H99" s="52"/>
      <c r="I99" s="2385" t="s">
        <v>2317</v>
      </c>
      <c r="J99" s="856" t="s">
        <v>599</v>
      </c>
      <c r="K99" s="856"/>
      <c r="M99" s="52"/>
      <c r="N99" s="2385" t="s">
        <v>2317</v>
      </c>
      <c r="O99" s="856" t="s">
        <v>599</v>
      </c>
      <c r="P99" s="856"/>
      <c r="Q99" s="455"/>
    </row>
    <row r="100" spans="1:32" ht="10.5" customHeight="1">
      <c r="C100" s="455" t="s">
        <v>1694</v>
      </c>
      <c r="D100" s="2262" t="s">
        <v>7173</v>
      </c>
      <c r="E100" s="3527" t="s">
        <v>7174</v>
      </c>
      <c r="F100" s="3527"/>
      <c r="G100" s="3527"/>
      <c r="H100" s="65" t="s">
        <v>1696</v>
      </c>
      <c r="I100" s="2262"/>
      <c r="J100" s="3527"/>
      <c r="K100" s="3527"/>
      <c r="L100" s="3527"/>
      <c r="M100" s="64" t="s">
        <v>1516</v>
      </c>
      <c r="N100" s="2262"/>
      <c r="O100" s="3527"/>
      <c r="P100" s="3527"/>
      <c r="Q100" s="3527"/>
    </row>
    <row r="101" spans="1:32" ht="10.5" customHeight="1">
      <c r="C101" s="65" t="s">
        <v>1695</v>
      </c>
      <c r="D101" s="2263"/>
      <c r="E101" s="3549"/>
      <c r="F101" s="3549"/>
      <c r="G101" s="3549"/>
      <c r="H101" s="455" t="s">
        <v>2305</v>
      </c>
      <c r="I101" s="2263"/>
      <c r="J101" s="3549"/>
      <c r="K101" s="3549"/>
      <c r="L101" s="3549"/>
      <c r="M101" s="64" t="s">
        <v>1517</v>
      </c>
      <c r="N101" s="2263"/>
      <c r="O101" s="3549"/>
      <c r="P101" s="3549"/>
      <c r="Q101" s="3549"/>
    </row>
    <row r="102" spans="1:32" ht="10.5" customHeight="1">
      <c r="A102" s="47" t="s">
        <v>1693</v>
      </c>
      <c r="B102" s="52" t="s">
        <v>0</v>
      </c>
      <c r="D102" s="133"/>
      <c r="E102" s="133"/>
      <c r="F102" s="133"/>
      <c r="G102" s="133"/>
      <c r="H102" s="133"/>
      <c r="I102" s="42"/>
      <c r="J102" s="42"/>
      <c r="K102" s="133"/>
      <c r="L102" s="2394"/>
      <c r="M102" s="2394"/>
      <c r="O102" s="455" t="s">
        <v>1693</v>
      </c>
      <c r="P102" s="2264" t="s">
        <v>2886</v>
      </c>
      <c r="Q102" s="1553"/>
    </row>
    <row r="103" spans="1:32" s="132" customFormat="1" ht="56.25" customHeight="1">
      <c r="A103" s="141" t="s">
        <v>1900</v>
      </c>
      <c r="B103" s="3443" t="s">
        <v>4791</v>
      </c>
      <c r="C103" s="3443"/>
      <c r="D103" s="3443"/>
      <c r="E103" s="3443"/>
      <c r="F103" s="3443"/>
      <c r="G103" s="3443"/>
      <c r="H103" s="3443"/>
      <c r="I103" s="3443"/>
      <c r="J103" s="3443"/>
      <c r="K103" s="3443"/>
      <c r="L103" s="3443"/>
      <c r="M103" s="3443"/>
      <c r="N103" s="3443"/>
      <c r="O103" s="1725" t="s">
        <v>4789</v>
      </c>
      <c r="P103" s="2387" t="s">
        <v>2886</v>
      </c>
      <c r="Q103" s="2395"/>
      <c r="AE103" s="458"/>
      <c r="AF103" s="458"/>
    </row>
    <row r="104" spans="1:32" s="42" customFormat="1" ht="10.5" customHeight="1">
      <c r="A104" s="47"/>
      <c r="B104" s="1488" t="s">
        <v>1695</v>
      </c>
      <c r="C104" s="52" t="s">
        <v>4790</v>
      </c>
      <c r="D104" s="133"/>
      <c r="E104" s="133"/>
      <c r="F104" s="133"/>
      <c r="G104" s="133"/>
      <c r="H104" s="133"/>
      <c r="K104" s="133"/>
      <c r="L104" s="2394"/>
      <c r="M104" s="2394"/>
      <c r="O104" s="455" t="s">
        <v>1695</v>
      </c>
      <c r="P104" s="2258" t="s">
        <v>2889</v>
      </c>
      <c r="Q104" s="520"/>
      <c r="AE104" s="50"/>
      <c r="AF104" s="50"/>
    </row>
    <row r="105" spans="1:32" ht="9.75" customHeight="1">
      <c r="B105" s="140" t="s">
        <v>3566</v>
      </c>
      <c r="D105" s="140"/>
      <c r="E105" s="140"/>
      <c r="F105" s="140"/>
      <c r="G105" s="140"/>
      <c r="H105" s="40"/>
      <c r="I105" s="2399"/>
      <c r="J105" s="2399"/>
      <c r="K105" s="2399"/>
      <c r="L105" s="2375"/>
      <c r="M105" s="2375"/>
      <c r="N105" s="2375"/>
      <c r="O105" s="2375"/>
      <c r="P105" s="2375"/>
      <c r="Q105" s="855"/>
    </row>
    <row r="106" spans="1:32" ht="44.25" customHeight="1">
      <c r="A106" s="3498" t="s">
        <v>7175</v>
      </c>
      <c r="B106" s="3499"/>
      <c r="C106" s="3499"/>
      <c r="D106" s="3499"/>
      <c r="E106" s="3499"/>
      <c r="F106" s="3499"/>
      <c r="G106" s="3499"/>
      <c r="H106" s="3499"/>
      <c r="I106" s="3499"/>
      <c r="J106" s="3499"/>
      <c r="K106" s="3499"/>
      <c r="L106" s="3499"/>
      <c r="M106" s="3499"/>
      <c r="N106" s="3499"/>
      <c r="O106" s="3499"/>
      <c r="P106" s="3499"/>
      <c r="Q106" s="3500"/>
      <c r="U106" s="135"/>
      <c r="V106" s="135"/>
      <c r="W106" s="135"/>
      <c r="X106" s="135"/>
      <c r="Y106" s="135"/>
      <c r="Z106" s="135"/>
      <c r="AA106" s="135"/>
      <c r="AB106" s="135"/>
      <c r="AC106" s="135"/>
      <c r="AD106" s="135"/>
      <c r="AE106" s="457"/>
    </row>
    <row r="107" spans="1:32" ht="9.75" customHeight="1">
      <c r="B107" s="136" t="s">
        <v>1820</v>
      </c>
      <c r="C107" s="137"/>
      <c r="D107" s="2381"/>
      <c r="E107" s="2381"/>
      <c r="F107" s="2381"/>
      <c r="G107" s="2381"/>
      <c r="H107" s="2381"/>
      <c r="I107" s="2381"/>
      <c r="J107" s="2381"/>
      <c r="K107" s="2381"/>
      <c r="L107" s="2381"/>
      <c r="M107" s="2381"/>
      <c r="N107" s="2381"/>
      <c r="O107" s="2381"/>
      <c r="P107" s="2381"/>
      <c r="Q107" s="2381"/>
    </row>
    <row r="108" spans="1:32" ht="33" customHeight="1">
      <c r="A108" s="3433"/>
      <c r="B108" s="3434"/>
      <c r="C108" s="3434"/>
      <c r="D108" s="3434"/>
      <c r="E108" s="3434"/>
      <c r="F108" s="3434"/>
      <c r="G108" s="3434"/>
      <c r="H108" s="3434"/>
      <c r="I108" s="3434"/>
      <c r="J108" s="3434"/>
      <c r="K108" s="3434"/>
      <c r="L108" s="3434"/>
      <c r="M108" s="3434"/>
      <c r="N108" s="3434"/>
      <c r="O108" s="3434"/>
      <c r="P108" s="3434"/>
      <c r="Q108" s="3435"/>
    </row>
    <row r="109" spans="1:32" ht="14.1" customHeight="1">
      <c r="A109" s="2373" t="s">
        <v>516</v>
      </c>
      <c r="B109" s="2373" t="s">
        <v>2581</v>
      </c>
      <c r="C109" s="2373"/>
      <c r="D109" s="2381"/>
      <c r="E109" s="2381"/>
      <c r="F109" s="2381"/>
      <c r="G109" s="2381"/>
      <c r="H109" s="2381"/>
      <c r="I109" s="2381"/>
      <c r="J109" s="2381"/>
      <c r="K109" s="2381"/>
      <c r="L109" s="2381"/>
      <c r="M109" s="2381"/>
      <c r="O109" s="131" t="s">
        <v>1821</v>
      </c>
      <c r="P109" s="3442"/>
      <c r="Q109" s="3429"/>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9" t="s">
        <v>2889</v>
      </c>
      <c r="Q111" s="1553"/>
    </row>
    <row r="112" spans="1:32" ht="10.5" customHeight="1">
      <c r="B112" s="1488" t="s">
        <v>1694</v>
      </c>
      <c r="C112" s="39" t="s">
        <v>538</v>
      </c>
      <c r="E112" s="42"/>
      <c r="F112" s="42"/>
      <c r="G112" s="42"/>
      <c r="H112" s="42"/>
      <c r="I112" s="42"/>
      <c r="L112" s="65" t="s">
        <v>539</v>
      </c>
      <c r="M112" s="3430"/>
      <c r="N112" s="3431"/>
      <c r="O112" s="3431"/>
      <c r="P112" s="2988"/>
      <c r="Q112" s="519"/>
    </row>
    <row r="113" spans="1:32" s="42" customFormat="1" ht="9.75" customHeight="1">
      <c r="B113" s="145" t="s">
        <v>1695</v>
      </c>
      <c r="C113" s="36" t="s">
        <v>4375</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9"/>
      <c r="B115" s="468" t="s">
        <v>2305</v>
      </c>
      <c r="C115" s="856" t="s">
        <v>4260</v>
      </c>
      <c r="D115" s="984"/>
      <c r="E115" s="984"/>
      <c r="F115" s="984"/>
      <c r="G115" s="984"/>
      <c r="H115" s="984"/>
      <c r="I115" s="984"/>
      <c r="J115" s="984"/>
      <c r="K115" s="984"/>
      <c r="L115" s="984"/>
      <c r="M115" s="984"/>
      <c r="O115" s="160" t="s">
        <v>2305</v>
      </c>
      <c r="P115" s="2266"/>
      <c r="Q115" s="519"/>
    </row>
    <row r="116" spans="1:32" ht="10.5" customHeight="1">
      <c r="A116" s="2399"/>
      <c r="B116" s="468" t="s">
        <v>1516</v>
      </c>
      <c r="C116" s="856" t="s">
        <v>3353</v>
      </c>
      <c r="D116" s="984"/>
      <c r="E116" s="984"/>
      <c r="F116" s="984"/>
      <c r="G116" s="984"/>
      <c r="H116" s="984"/>
      <c r="I116" s="984"/>
      <c r="J116" s="984"/>
      <c r="K116" s="984"/>
      <c r="L116" s="984"/>
      <c r="M116" s="984"/>
      <c r="O116" s="160" t="s">
        <v>1516</v>
      </c>
      <c r="P116" s="2257"/>
      <c r="Q116" s="519"/>
    </row>
    <row r="117" spans="1:32" ht="10.5" customHeight="1">
      <c r="A117" s="2399"/>
      <c r="B117" s="468" t="s">
        <v>1517</v>
      </c>
      <c r="C117" s="856" t="s">
        <v>3354</v>
      </c>
      <c r="D117" s="984"/>
      <c r="E117" s="984"/>
      <c r="F117" s="984"/>
      <c r="G117" s="984"/>
      <c r="H117" s="984"/>
      <c r="I117" s="984"/>
      <c r="J117" s="984"/>
      <c r="K117" s="984"/>
      <c r="L117" s="984"/>
      <c r="M117" s="984"/>
      <c r="O117" s="160" t="s">
        <v>1517</v>
      </c>
      <c r="P117" s="2257"/>
      <c r="Q117" s="519"/>
    </row>
    <row r="118" spans="1:32" ht="10.5" customHeight="1">
      <c r="A118" s="2399"/>
      <c r="B118" s="468" t="s">
        <v>96</v>
      </c>
      <c r="C118" s="856" t="s">
        <v>2780</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43" t="s">
        <v>4559</v>
      </c>
      <c r="D119" s="3443"/>
      <c r="E119" s="3443"/>
      <c r="F119" s="3443"/>
      <c r="G119" s="3443"/>
      <c r="H119" s="3443"/>
      <c r="I119" s="3443"/>
      <c r="J119" s="3443"/>
      <c r="K119" s="3443"/>
      <c r="L119" s="3443"/>
      <c r="M119" s="3443"/>
      <c r="N119" s="3443"/>
      <c r="O119" s="160" t="s">
        <v>500</v>
      </c>
      <c r="P119" s="2388"/>
      <c r="Q119" s="2251"/>
      <c r="AE119" s="458"/>
      <c r="AF119" s="458"/>
    </row>
    <row r="120" spans="1:32" ht="10.5" customHeight="1">
      <c r="A120" s="47" t="s">
        <v>1938</v>
      </c>
      <c r="B120" s="52" t="s">
        <v>4558</v>
      </c>
      <c r="C120" s="52"/>
      <c r="E120" s="52"/>
      <c r="F120" s="52"/>
      <c r="G120" s="52"/>
      <c r="H120" s="52"/>
      <c r="I120" s="52"/>
      <c r="J120" s="52"/>
      <c r="K120" s="52"/>
      <c r="L120" s="52"/>
      <c r="M120" s="52"/>
      <c r="O120" s="455" t="s">
        <v>1938</v>
      </c>
      <c r="P120" s="2264" t="s">
        <v>2889</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92"/>
      <c r="Q122" s="238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2889</v>
      </c>
      <c r="Q124" s="518"/>
    </row>
    <row r="125" spans="1:32" ht="10.5" customHeight="1">
      <c r="B125" s="145" t="s">
        <v>1695</v>
      </c>
      <c r="C125" s="52" t="s">
        <v>1402</v>
      </c>
      <c r="E125" s="52"/>
      <c r="F125" s="52"/>
      <c r="G125" s="52"/>
      <c r="H125" s="52"/>
      <c r="I125" s="52"/>
      <c r="J125" s="52"/>
      <c r="K125" s="52"/>
      <c r="L125" s="856"/>
      <c r="M125" s="856"/>
      <c r="O125" s="65" t="s">
        <v>1695</v>
      </c>
      <c r="P125" s="2257" t="s">
        <v>2889</v>
      </c>
      <c r="Q125" s="519"/>
    </row>
    <row r="126" spans="1:32" ht="10.5" customHeight="1">
      <c r="B126" s="145" t="s">
        <v>1696</v>
      </c>
      <c r="C126" s="52" t="s">
        <v>1403</v>
      </c>
      <c r="E126" s="52"/>
      <c r="F126" s="52"/>
      <c r="G126" s="52"/>
      <c r="H126" s="52"/>
      <c r="I126" s="52"/>
      <c r="J126" s="52"/>
      <c r="K126" s="52"/>
      <c r="L126" s="856"/>
      <c r="M126" s="856"/>
      <c r="O126" s="65" t="s">
        <v>1696</v>
      </c>
      <c r="P126" s="2258" t="s">
        <v>2889</v>
      </c>
      <c r="Q126" s="520"/>
    </row>
    <row r="127" spans="1:32" ht="10.5" customHeight="1">
      <c r="B127" s="140" t="s">
        <v>3566</v>
      </c>
      <c r="D127" s="140"/>
      <c r="E127" s="140"/>
      <c r="F127" s="140"/>
      <c r="G127" s="140"/>
      <c r="H127" s="40"/>
      <c r="I127" s="2399"/>
      <c r="J127" s="2399"/>
      <c r="K127" s="2399"/>
      <c r="L127" s="2375"/>
      <c r="M127" s="2375"/>
      <c r="N127" s="2375"/>
      <c r="O127" s="2375"/>
      <c r="P127" s="2375"/>
      <c r="Q127" s="855"/>
    </row>
    <row r="128" spans="1:32" ht="22.5" customHeight="1">
      <c r="A128" s="3439" t="s">
        <v>7042</v>
      </c>
      <c r="B128" s="3440"/>
      <c r="C128" s="3440"/>
      <c r="D128" s="3440"/>
      <c r="E128" s="3440"/>
      <c r="F128" s="3440"/>
      <c r="G128" s="3440"/>
      <c r="H128" s="3440"/>
      <c r="I128" s="3440"/>
      <c r="J128" s="3440"/>
      <c r="K128" s="3440"/>
      <c r="L128" s="3440"/>
      <c r="M128" s="3440"/>
      <c r="N128" s="3440"/>
      <c r="O128" s="3440"/>
      <c r="P128" s="3440"/>
      <c r="Q128" s="3441"/>
      <c r="U128" s="135"/>
      <c r="V128" s="135"/>
      <c r="W128" s="135"/>
      <c r="X128" s="135"/>
      <c r="Y128" s="135"/>
      <c r="Z128" s="135"/>
      <c r="AA128" s="135"/>
      <c r="AB128" s="135"/>
      <c r="AC128" s="135"/>
      <c r="AD128" s="135"/>
      <c r="AE128" s="457"/>
    </row>
    <row r="129" spans="1:17" ht="11.25" customHeight="1">
      <c r="B129" s="136" t="s">
        <v>1820</v>
      </c>
      <c r="C129" s="137"/>
      <c r="D129" s="2381"/>
      <c r="E129" s="2381"/>
      <c r="F129" s="2381"/>
      <c r="G129" s="2381"/>
      <c r="H129" s="2381"/>
      <c r="I129" s="2381"/>
      <c r="J129" s="2381"/>
      <c r="K129" s="2381"/>
      <c r="L129" s="2381"/>
      <c r="M129" s="2381"/>
      <c r="N129" s="2381"/>
      <c r="O129" s="2381"/>
      <c r="P129" s="2381"/>
      <c r="Q129" s="2381"/>
    </row>
    <row r="130" spans="1:17" ht="22.5" customHeight="1">
      <c r="A130" s="3433"/>
      <c r="B130" s="3434"/>
      <c r="C130" s="3434"/>
      <c r="D130" s="3434"/>
      <c r="E130" s="3434"/>
      <c r="F130" s="3434"/>
      <c r="G130" s="3434"/>
      <c r="H130" s="3434"/>
      <c r="I130" s="3434"/>
      <c r="J130" s="3434"/>
      <c r="K130" s="3434"/>
      <c r="L130" s="3434"/>
      <c r="M130" s="3434"/>
      <c r="N130" s="3434"/>
      <c r="O130" s="3434"/>
      <c r="P130" s="3434"/>
      <c r="Q130" s="3435"/>
    </row>
    <row r="131" spans="1:17" ht="14.1" customHeight="1">
      <c r="A131" s="2373" t="s">
        <v>754</v>
      </c>
      <c r="B131" s="2373" t="s">
        <v>2582</v>
      </c>
      <c r="C131" s="40"/>
      <c r="D131" s="2381"/>
      <c r="E131" s="2381"/>
      <c r="F131" s="2381"/>
      <c r="G131" s="2381"/>
      <c r="H131" s="2381"/>
      <c r="I131" s="2381"/>
      <c r="J131" s="2381"/>
      <c r="K131" s="2381"/>
      <c r="L131" s="2381"/>
      <c r="M131" s="2381"/>
      <c r="O131" s="131" t="s">
        <v>1821</v>
      </c>
      <c r="P131" s="3442"/>
      <c r="Q131" s="3429"/>
    </row>
    <row r="132" spans="1:17" ht="6.6" customHeight="1"/>
    <row r="133" spans="1:17" ht="12" customHeight="1">
      <c r="A133" s="47" t="s">
        <v>1936</v>
      </c>
      <c r="B133" s="52" t="s">
        <v>3470</v>
      </c>
      <c r="D133" s="133"/>
      <c r="E133" s="133"/>
      <c r="F133" s="133"/>
      <c r="G133" s="133"/>
      <c r="H133" s="133"/>
      <c r="I133" s="42"/>
      <c r="J133" s="42"/>
      <c r="K133" s="455" t="s">
        <v>1936</v>
      </c>
      <c r="L133" s="3436" t="s">
        <v>7043</v>
      </c>
      <c r="M133" s="3436"/>
      <c r="N133" s="3436"/>
      <c r="O133" s="3436"/>
      <c r="P133" s="3436"/>
      <c r="Q133" s="517"/>
    </row>
    <row r="134" spans="1:17" ht="12" customHeight="1">
      <c r="A134" s="47" t="s">
        <v>1938</v>
      </c>
      <c r="B134" s="52" t="s">
        <v>1505</v>
      </c>
      <c r="D134" s="133"/>
      <c r="E134" s="133"/>
      <c r="F134" s="133"/>
      <c r="G134" s="133"/>
      <c r="H134" s="133"/>
      <c r="I134" s="42"/>
      <c r="J134" s="42"/>
      <c r="K134" s="133"/>
      <c r="L134" s="2394"/>
      <c r="O134" s="455" t="s">
        <v>1938</v>
      </c>
      <c r="P134" s="2266" t="s">
        <v>2889</v>
      </c>
      <c r="Q134" s="898"/>
    </row>
    <row r="135" spans="1:17" ht="12" customHeight="1">
      <c r="A135" s="47" t="s">
        <v>731</v>
      </c>
      <c r="B135" s="52" t="s">
        <v>147</v>
      </c>
      <c r="D135" s="133"/>
      <c r="E135" s="133"/>
      <c r="F135" s="133"/>
      <c r="G135" s="133"/>
      <c r="H135" s="133"/>
      <c r="I135" s="42"/>
      <c r="J135" s="42"/>
      <c r="K135" s="2394"/>
      <c r="L135" s="2394"/>
      <c r="O135" s="455" t="s">
        <v>731</v>
      </c>
      <c r="P135" s="2258" t="s">
        <v>2889</v>
      </c>
      <c r="Q135" s="862"/>
    </row>
    <row r="136" spans="1:17" ht="12" customHeight="1">
      <c r="A136" s="47"/>
      <c r="B136" s="856" t="s">
        <v>1694</v>
      </c>
      <c r="C136" s="52" t="s">
        <v>2611</v>
      </c>
      <c r="E136" s="133"/>
      <c r="F136" s="133"/>
      <c r="G136" s="133"/>
      <c r="H136" s="133"/>
      <c r="I136" s="42"/>
      <c r="J136" s="42"/>
      <c r="K136" s="65" t="s">
        <v>1694</v>
      </c>
      <c r="L136" s="3436" t="s">
        <v>948</v>
      </c>
      <c r="M136" s="3436"/>
      <c r="N136" s="3436"/>
      <c r="O136" s="3436"/>
      <c r="P136" s="3436"/>
      <c r="Q136" s="517"/>
    </row>
    <row r="137" spans="1:17" ht="12" customHeight="1">
      <c r="A137" s="138"/>
      <c r="B137" s="145" t="s">
        <v>1695</v>
      </c>
      <c r="C137" s="36" t="s">
        <v>3355</v>
      </c>
      <c r="E137" s="42"/>
      <c r="F137" s="42"/>
      <c r="G137" s="42"/>
      <c r="H137" s="52"/>
      <c r="I137" s="42"/>
      <c r="J137" s="42"/>
      <c r="K137" s="133"/>
      <c r="L137" s="2394"/>
      <c r="M137" s="2394"/>
      <c r="O137" s="455" t="s">
        <v>1695</v>
      </c>
      <c r="P137" s="2264"/>
      <c r="Q137" s="1553"/>
    </row>
    <row r="138" spans="1:17" ht="12" customHeight="1">
      <c r="A138" s="138"/>
      <c r="B138" s="40" t="s">
        <v>1696</v>
      </c>
      <c r="C138" s="36" t="s">
        <v>4245</v>
      </c>
      <c r="D138" s="147"/>
      <c r="E138" s="42"/>
      <c r="F138" s="42"/>
      <c r="G138" s="42"/>
      <c r="H138" s="52"/>
      <c r="I138" s="42"/>
      <c r="J138" s="42"/>
      <c r="K138" s="133"/>
      <c r="L138" s="2394"/>
      <c r="M138" s="2394"/>
      <c r="O138" s="455" t="s">
        <v>1696</v>
      </c>
      <c r="P138" s="2258"/>
      <c r="Q138" s="520"/>
    </row>
    <row r="139" spans="1:17" ht="12" customHeight="1">
      <c r="A139" s="47" t="s">
        <v>2065</v>
      </c>
      <c r="B139" s="52" t="s">
        <v>1234</v>
      </c>
      <c r="D139" s="133"/>
      <c r="E139" s="133"/>
      <c r="F139" s="133"/>
      <c r="G139" s="133"/>
      <c r="H139" s="133"/>
      <c r="I139" s="42"/>
      <c r="J139" s="42"/>
      <c r="K139" s="133"/>
      <c r="L139" s="2394"/>
      <c r="M139" s="2394"/>
      <c r="N139" s="2394"/>
      <c r="O139" s="455" t="s">
        <v>2065</v>
      </c>
    </row>
    <row r="140" spans="1:17" ht="12" customHeight="1">
      <c r="A140" s="47"/>
      <c r="B140" s="145" t="s">
        <v>1694</v>
      </c>
      <c r="C140" s="52" t="s">
        <v>145</v>
      </c>
      <c r="E140" s="133"/>
      <c r="F140" s="133"/>
      <c r="G140" s="133"/>
      <c r="H140" s="133"/>
      <c r="I140" s="42"/>
      <c r="J140" s="42"/>
      <c r="K140" s="133"/>
      <c r="L140" s="2394"/>
      <c r="M140" s="2394"/>
      <c r="O140" s="65" t="s">
        <v>1694</v>
      </c>
      <c r="P140" s="2256" t="s">
        <v>2889</v>
      </c>
      <c r="Q140" s="518"/>
    </row>
    <row r="141" spans="1:17" ht="12" customHeight="1">
      <c r="A141" s="47"/>
      <c r="B141" s="145" t="s">
        <v>1695</v>
      </c>
      <c r="C141" s="52" t="s">
        <v>1235</v>
      </c>
      <c r="E141" s="133"/>
      <c r="F141" s="133"/>
      <c r="G141" s="133"/>
      <c r="H141" s="42"/>
      <c r="I141" s="42"/>
      <c r="J141" s="42"/>
      <c r="K141" s="133"/>
      <c r="L141" s="2394"/>
      <c r="M141" s="2394"/>
      <c r="O141" s="65" t="s">
        <v>1695</v>
      </c>
      <c r="P141" s="2257" t="s">
        <v>2889</v>
      </c>
      <c r="Q141" s="519"/>
    </row>
    <row r="142" spans="1:17" ht="12" customHeight="1">
      <c r="A142" s="47"/>
      <c r="B142" s="145"/>
      <c r="C142" s="52" t="s">
        <v>2562</v>
      </c>
      <c r="E142" s="455" t="s">
        <v>2372</v>
      </c>
      <c r="F142" s="52" t="s">
        <v>2563</v>
      </c>
      <c r="G142" s="42"/>
      <c r="H142" s="52"/>
      <c r="I142" s="42"/>
      <c r="J142" s="42"/>
      <c r="K142" s="133"/>
      <c r="L142" s="2394"/>
      <c r="M142" s="2394"/>
      <c r="O142" s="455" t="s">
        <v>2372</v>
      </c>
      <c r="P142" s="2267"/>
      <c r="Q142" s="828"/>
    </row>
    <row r="143" spans="1:17" ht="12" customHeight="1">
      <c r="A143" s="47"/>
      <c r="B143" s="145"/>
      <c r="E143" s="455" t="s">
        <v>2373</v>
      </c>
      <c r="F143" s="52" t="s">
        <v>2564</v>
      </c>
      <c r="G143" s="42"/>
      <c r="H143" s="52"/>
      <c r="I143" s="42"/>
      <c r="J143" s="42"/>
      <c r="K143" s="133"/>
      <c r="L143" s="2394"/>
      <c r="M143" s="2394"/>
      <c r="O143" s="455" t="s">
        <v>2373</v>
      </c>
      <c r="P143" s="2257"/>
      <c r="Q143" s="519"/>
    </row>
    <row r="144" spans="1:17" ht="12" customHeight="1">
      <c r="A144" s="47"/>
      <c r="B144" s="145"/>
      <c r="E144" s="455" t="s">
        <v>2374</v>
      </c>
      <c r="F144" s="52" t="s">
        <v>2565</v>
      </c>
      <c r="G144" s="42"/>
      <c r="H144" s="52"/>
      <c r="I144" s="42"/>
      <c r="J144" s="42"/>
      <c r="K144" s="133"/>
      <c r="L144" s="2394"/>
      <c r="M144" s="2394"/>
      <c r="O144" s="455" t="s">
        <v>2374</v>
      </c>
      <c r="P144" s="2257"/>
      <c r="Q144" s="519"/>
    </row>
    <row r="145" spans="1:17" ht="12" customHeight="1">
      <c r="A145" s="47"/>
      <c r="B145" s="145" t="s">
        <v>1696</v>
      </c>
      <c r="C145" s="52" t="s">
        <v>1236</v>
      </c>
      <c r="E145" s="133"/>
      <c r="F145" s="133"/>
      <c r="G145" s="133"/>
      <c r="H145" s="52"/>
      <c r="I145" s="42"/>
      <c r="J145" s="42"/>
      <c r="K145" s="133"/>
      <c r="L145" s="2394"/>
      <c r="M145" s="2394"/>
      <c r="O145" s="65" t="s">
        <v>1696</v>
      </c>
      <c r="P145" s="2257" t="s">
        <v>2889</v>
      </c>
      <c r="Q145" s="519"/>
    </row>
    <row r="146" spans="1:17" ht="12" customHeight="1">
      <c r="A146" s="47"/>
      <c r="B146" s="65"/>
      <c r="C146" s="52" t="s">
        <v>2562</v>
      </c>
      <c r="E146" s="455" t="s">
        <v>2372</v>
      </c>
      <c r="F146" s="52" t="s">
        <v>2566</v>
      </c>
      <c r="G146" s="42"/>
      <c r="H146" s="52"/>
      <c r="I146" s="42"/>
      <c r="J146" s="42"/>
      <c r="K146" s="133"/>
      <c r="L146" s="2394"/>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94"/>
      <c r="M149" s="2394"/>
      <c r="N149" s="2394"/>
      <c r="O149" s="2394"/>
      <c r="P149" s="2394"/>
      <c r="Q149" s="2394"/>
    </row>
    <row r="150" spans="1:17" ht="12" customHeight="1">
      <c r="B150" s="145" t="s">
        <v>1694</v>
      </c>
      <c r="C150" s="52" t="s">
        <v>2430</v>
      </c>
      <c r="E150" s="133"/>
      <c r="F150" s="2256" t="s">
        <v>2889</v>
      </c>
      <c r="G150" s="518"/>
      <c r="H150" s="455" t="s">
        <v>4406</v>
      </c>
      <c r="I150" s="55" t="s">
        <v>2569</v>
      </c>
      <c r="L150" s="2256" t="s">
        <v>2889</v>
      </c>
      <c r="M150" s="518"/>
      <c r="N150" s="455" t="s">
        <v>4410</v>
      </c>
      <c r="O150" s="52" t="s">
        <v>1519</v>
      </c>
      <c r="P150" s="2256" t="s">
        <v>2889</v>
      </c>
      <c r="Q150" s="518"/>
    </row>
    <row r="151" spans="1:17" ht="12" customHeight="1">
      <c r="A151" s="36"/>
      <c r="B151" s="145" t="s">
        <v>1695</v>
      </c>
      <c r="C151" s="52" t="s">
        <v>2710</v>
      </c>
      <c r="E151" s="133"/>
      <c r="F151" s="2257" t="s">
        <v>2889</v>
      </c>
      <c r="G151" s="519"/>
      <c r="H151" s="455" t="s">
        <v>4407</v>
      </c>
      <c r="I151" s="55" t="s">
        <v>2570</v>
      </c>
      <c r="L151" s="2257" t="s">
        <v>2889</v>
      </c>
      <c r="M151" s="519"/>
      <c r="N151" s="455" t="s">
        <v>4411</v>
      </c>
      <c r="O151" s="52" t="s">
        <v>1518</v>
      </c>
      <c r="P151" s="2257" t="s">
        <v>2889</v>
      </c>
      <c r="Q151" s="519"/>
    </row>
    <row r="152" spans="1:17" ht="12" customHeight="1">
      <c r="A152" s="36"/>
      <c r="B152" s="145" t="s">
        <v>1696</v>
      </c>
      <c r="C152" s="52" t="s">
        <v>2568</v>
      </c>
      <c r="E152" s="133"/>
      <c r="F152" s="2257" t="s">
        <v>2889</v>
      </c>
      <c r="G152" s="519"/>
      <c r="H152" s="455" t="s">
        <v>4408</v>
      </c>
      <c r="I152" s="55" t="s">
        <v>3631</v>
      </c>
      <c r="L152" s="2257" t="s">
        <v>2889</v>
      </c>
      <c r="M152" s="519"/>
      <c r="N152" s="455" t="s">
        <v>4412</v>
      </c>
      <c r="O152" s="52" t="s">
        <v>1520</v>
      </c>
      <c r="P152" s="2258" t="s">
        <v>2889</v>
      </c>
      <c r="Q152" s="520"/>
    </row>
    <row r="153" spans="1:17" ht="12" customHeight="1">
      <c r="A153" s="36"/>
      <c r="B153" s="145" t="s">
        <v>2305</v>
      </c>
      <c r="C153" s="52" t="s">
        <v>2712</v>
      </c>
      <c r="E153" s="133"/>
      <c r="F153" s="2258" t="s">
        <v>2889</v>
      </c>
      <c r="G153" s="520"/>
      <c r="H153" s="455" t="s">
        <v>4409</v>
      </c>
      <c r="I153" s="52" t="s">
        <v>2709</v>
      </c>
      <c r="L153" s="2258" t="s">
        <v>2889</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3540" t="s">
        <v>2728</v>
      </c>
      <c r="D155" s="3540"/>
      <c r="E155" s="3540"/>
      <c r="F155" s="3540"/>
      <c r="G155" s="3540"/>
      <c r="H155" s="3540"/>
      <c r="I155" s="3540"/>
      <c r="J155" s="3540"/>
      <c r="K155" s="3540"/>
      <c r="L155" s="3540"/>
      <c r="M155" s="3540"/>
      <c r="N155" s="3540"/>
      <c r="O155" s="3540"/>
      <c r="P155" s="3540"/>
      <c r="Q155" s="3540"/>
    </row>
    <row r="156" spans="1:17" ht="12" customHeight="1">
      <c r="A156" s="47" t="s">
        <v>1693</v>
      </c>
      <c r="B156" s="52" t="s">
        <v>3437</v>
      </c>
      <c r="D156" s="133"/>
      <c r="E156" s="133"/>
      <c r="F156" s="133"/>
      <c r="G156" s="133"/>
      <c r="H156" s="133"/>
      <c r="I156" s="42"/>
      <c r="J156" s="42"/>
      <c r="K156" s="133"/>
      <c r="L156" s="133"/>
      <c r="M156" s="2394"/>
    </row>
    <row r="157" spans="1:17" ht="12" customHeight="1">
      <c r="A157" s="42"/>
      <c r="B157" s="145" t="s">
        <v>1694</v>
      </c>
      <c r="C157" s="52" t="s">
        <v>2713</v>
      </c>
      <c r="E157" s="133"/>
      <c r="F157" s="133"/>
      <c r="G157" s="133"/>
      <c r="H157" s="133"/>
      <c r="O157" s="65" t="s">
        <v>1694</v>
      </c>
      <c r="P157" s="2256" t="s">
        <v>2889</v>
      </c>
      <c r="Q157" s="518"/>
    </row>
    <row r="158" spans="1:17" ht="12" customHeight="1">
      <c r="A158" s="2399"/>
      <c r="B158" s="145" t="s">
        <v>1695</v>
      </c>
      <c r="C158" s="52" t="s">
        <v>480</v>
      </c>
      <c r="E158" s="52"/>
      <c r="F158" s="52"/>
      <c r="G158" s="52"/>
      <c r="H158" s="52"/>
      <c r="I158" s="42"/>
      <c r="J158" s="42"/>
      <c r="K158" s="52"/>
      <c r="L158" s="52"/>
      <c r="M158" s="52"/>
      <c r="O158" s="65" t="s">
        <v>1695</v>
      </c>
      <c r="P158" s="2257" t="s">
        <v>2889</v>
      </c>
      <c r="Q158" s="519"/>
    </row>
    <row r="159" spans="1:17" ht="12" customHeight="1">
      <c r="A159" s="2399"/>
      <c r="B159" s="145" t="s">
        <v>1696</v>
      </c>
      <c r="C159" s="52" t="s">
        <v>663</v>
      </c>
      <c r="E159" s="52"/>
      <c r="F159" s="52"/>
      <c r="G159" s="52"/>
      <c r="H159" s="52"/>
      <c r="I159" s="42"/>
      <c r="J159" s="42"/>
      <c r="K159" s="52"/>
      <c r="L159" s="52"/>
      <c r="M159" s="52"/>
      <c r="O159" s="65" t="s">
        <v>1696</v>
      </c>
      <c r="P159" s="2257" t="s">
        <v>2889</v>
      </c>
      <c r="Q159" s="519"/>
    </row>
    <row r="160" spans="1:17" ht="12" customHeight="1">
      <c r="A160" s="2399"/>
      <c r="B160" s="40" t="s">
        <v>2305</v>
      </c>
      <c r="C160" s="52" t="s">
        <v>4392</v>
      </c>
      <c r="E160" s="52"/>
      <c r="F160" s="52"/>
      <c r="G160" s="52"/>
      <c r="H160" s="52"/>
      <c r="I160" s="42"/>
      <c r="J160" s="42"/>
      <c r="K160" s="52"/>
      <c r="L160" s="52"/>
      <c r="M160" s="52"/>
      <c r="O160" s="455" t="s">
        <v>2305</v>
      </c>
      <c r="P160" s="2258" t="s">
        <v>2889</v>
      </c>
      <c r="Q160" s="520"/>
    </row>
    <row r="161" spans="1:32" ht="12" customHeight="1">
      <c r="A161" s="407" t="s">
        <v>4560</v>
      </c>
      <c r="C161" s="52"/>
      <c r="D161" s="133"/>
      <c r="E161" s="133"/>
      <c r="F161" s="133"/>
      <c r="G161" s="133"/>
      <c r="H161" s="133"/>
      <c r="I161" s="42"/>
      <c r="J161" s="42"/>
      <c r="K161" s="133"/>
      <c r="L161" s="133"/>
      <c r="M161" s="2394"/>
      <c r="N161" s="2394"/>
      <c r="O161" s="2394"/>
      <c r="P161" s="2394"/>
      <c r="Q161" s="2394"/>
      <c r="R161" s="2394"/>
    </row>
    <row r="162" spans="1:32" s="1" customFormat="1" ht="23.4" customHeight="1">
      <c r="A162" s="47" t="s">
        <v>1900</v>
      </c>
      <c r="B162" s="3443" t="s">
        <v>144</v>
      </c>
      <c r="C162" s="3443"/>
      <c r="D162" s="3443"/>
      <c r="E162" s="3443"/>
      <c r="F162" s="3443"/>
      <c r="G162" s="3443"/>
      <c r="H162" s="3443"/>
      <c r="I162" s="3443"/>
      <c r="J162" s="3443"/>
      <c r="K162" s="3443"/>
      <c r="L162" s="3443"/>
      <c r="M162" s="455" t="s">
        <v>1900</v>
      </c>
      <c r="N162" s="3447" t="s">
        <v>1727</v>
      </c>
      <c r="O162" s="3448"/>
      <c r="P162" s="3449" t="s">
        <v>1727</v>
      </c>
      <c r="Q162" s="3450"/>
      <c r="AE162" s="5"/>
      <c r="AF162" s="5"/>
    </row>
    <row r="163" spans="1:32" ht="11.25" customHeight="1">
      <c r="B163" s="140" t="s">
        <v>3566</v>
      </c>
      <c r="D163" s="140"/>
      <c r="E163" s="140"/>
      <c r="F163" s="140"/>
      <c r="G163" s="140"/>
      <c r="H163" s="40"/>
      <c r="I163" s="2399"/>
      <c r="J163" s="2399"/>
      <c r="K163" s="2399"/>
      <c r="L163" s="2375"/>
      <c r="M163" s="2375"/>
      <c r="N163" s="2375"/>
      <c r="O163" s="2375"/>
      <c r="P163" s="2375"/>
      <c r="Q163" s="855"/>
    </row>
    <row r="164" spans="1:32" ht="45" customHeight="1">
      <c r="A164" s="3439" t="s">
        <v>7044</v>
      </c>
      <c r="B164" s="3440"/>
      <c r="C164" s="3440"/>
      <c r="D164" s="3440"/>
      <c r="E164" s="3440"/>
      <c r="F164" s="3440"/>
      <c r="G164" s="3440"/>
      <c r="H164" s="3440"/>
      <c r="I164" s="3440"/>
      <c r="J164" s="3440"/>
      <c r="K164" s="3440"/>
      <c r="L164" s="3440"/>
      <c r="M164" s="3440"/>
      <c r="N164" s="3440"/>
      <c r="O164" s="3440"/>
      <c r="P164" s="3440"/>
      <c r="Q164" s="344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81"/>
      <c r="E166" s="2381"/>
      <c r="F166" s="2381"/>
      <c r="G166" s="2381"/>
      <c r="H166" s="2381"/>
      <c r="I166" s="2381"/>
      <c r="J166" s="2381"/>
      <c r="K166" s="2381"/>
      <c r="L166" s="2381"/>
      <c r="M166" s="2381"/>
      <c r="N166" s="2381"/>
      <c r="O166" s="2381"/>
      <c r="P166" s="2381"/>
      <c r="Q166" s="2381"/>
    </row>
    <row r="167" spans="1:32" ht="45" customHeight="1">
      <c r="A167" s="3433"/>
      <c r="B167" s="3434"/>
      <c r="C167" s="3434"/>
      <c r="D167" s="3434"/>
      <c r="E167" s="3434"/>
      <c r="F167" s="3434"/>
      <c r="G167" s="3434"/>
      <c r="H167" s="3434"/>
      <c r="I167" s="3434"/>
      <c r="J167" s="3434"/>
      <c r="K167" s="3434"/>
      <c r="L167" s="3434"/>
      <c r="M167" s="3434"/>
      <c r="N167" s="3434"/>
      <c r="O167" s="3434"/>
      <c r="P167" s="3434"/>
      <c r="Q167" s="3435"/>
    </row>
    <row r="168" spans="1:32" ht="3" customHeight="1">
      <c r="A168" s="2375"/>
      <c r="B168" s="2399"/>
      <c r="C168" s="2381"/>
      <c r="D168" s="2381"/>
      <c r="E168" s="2381"/>
      <c r="F168" s="2381"/>
      <c r="G168" s="2381"/>
      <c r="H168" s="2381"/>
      <c r="I168" s="2381"/>
      <c r="J168" s="2381"/>
      <c r="K168" s="2381"/>
      <c r="L168" s="2381"/>
      <c r="M168" s="2381"/>
      <c r="N168" s="2381"/>
      <c r="O168" s="2381"/>
      <c r="P168" s="2381"/>
      <c r="Q168" s="2375"/>
    </row>
    <row r="169" spans="1:32" ht="14.1" customHeight="1">
      <c r="A169" s="2373" t="s">
        <v>287</v>
      </c>
      <c r="B169" s="2373" t="s">
        <v>2583</v>
      </c>
      <c r="C169" s="2373"/>
      <c r="D169" s="2381"/>
      <c r="E169" s="2381"/>
      <c r="F169" s="2381"/>
      <c r="G169" s="2381"/>
      <c r="H169" s="2381"/>
      <c r="I169" s="2381"/>
      <c r="J169" s="2381"/>
      <c r="K169" s="2381"/>
      <c r="O169" s="131" t="s">
        <v>1821</v>
      </c>
      <c r="P169" s="3442"/>
      <c r="Q169" s="3429"/>
    </row>
    <row r="170" spans="1:32" ht="12" customHeight="1">
      <c r="A170" s="47" t="s">
        <v>1936</v>
      </c>
      <c r="B170" s="145" t="s">
        <v>1694</v>
      </c>
      <c r="C170" s="52" t="s">
        <v>4743</v>
      </c>
      <c r="D170" s="52"/>
      <c r="E170" s="52"/>
      <c r="F170" s="52"/>
      <c r="G170" s="52"/>
      <c r="K170" s="52" t="s">
        <v>2627</v>
      </c>
      <c r="M170" s="3452">
        <v>44256</v>
      </c>
      <c r="N170" s="3453"/>
      <c r="O170" s="65" t="s">
        <v>1694</v>
      </c>
      <c r="P170" s="2254" t="s">
        <v>2886</v>
      </c>
      <c r="Q170" s="516"/>
    </row>
    <row r="171" spans="1:32" ht="12" customHeight="1">
      <c r="A171" s="47"/>
      <c r="B171" s="145" t="s">
        <v>1695</v>
      </c>
      <c r="C171" s="52" t="s">
        <v>4744</v>
      </c>
      <c r="D171" s="52"/>
      <c r="E171" s="52"/>
      <c r="F171" s="52"/>
      <c r="G171" s="52"/>
      <c r="K171" s="52" t="s">
        <v>2627</v>
      </c>
      <c r="M171" s="3452"/>
      <c r="N171" s="3453"/>
      <c r="O171" s="65" t="s">
        <v>1695</v>
      </c>
      <c r="P171" s="2254"/>
      <c r="Q171" s="516"/>
    </row>
    <row r="172" spans="1:32" ht="12" customHeight="1">
      <c r="A172" s="47" t="s">
        <v>1938</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0</v>
      </c>
      <c r="M172" s="455" t="s">
        <v>1938</v>
      </c>
      <c r="N172" s="3517" t="s">
        <v>7045</v>
      </c>
      <c r="O172" s="3518"/>
      <c r="P172" s="3519" t="s">
        <v>1727</v>
      </c>
      <c r="Q172" s="3520"/>
    </row>
    <row r="173" spans="1:32" ht="12" customHeight="1">
      <c r="A173" s="47" t="s">
        <v>731</v>
      </c>
      <c r="B173" s="139" t="s">
        <v>664</v>
      </c>
      <c r="D173" s="139"/>
      <c r="E173" s="139"/>
      <c r="F173" s="139"/>
      <c r="G173" s="139"/>
      <c r="H173" s="139"/>
      <c r="J173" s="455" t="s">
        <v>731</v>
      </c>
      <c r="K173" s="3430" t="s">
        <v>7085</v>
      </c>
      <c r="L173" s="3431"/>
      <c r="M173" s="3431"/>
      <c r="N173" s="3431"/>
      <c r="O173" s="3431"/>
      <c r="P173" s="3432"/>
      <c r="Q173" s="516"/>
    </row>
    <row r="174" spans="1:32" ht="12" customHeight="1">
      <c r="B174" s="140" t="s">
        <v>3566</v>
      </c>
      <c r="D174" s="140"/>
      <c r="E174" s="140"/>
      <c r="F174" s="140"/>
      <c r="G174" s="140"/>
      <c r="H174" s="40"/>
      <c r="I174" s="2399"/>
      <c r="J174" s="2399"/>
      <c r="K174" s="2399"/>
      <c r="L174" s="2375"/>
      <c r="M174" s="2375"/>
      <c r="N174" s="2375"/>
      <c r="O174" s="2375"/>
      <c r="P174" s="2375"/>
      <c r="Q174" s="855"/>
    </row>
    <row r="175" spans="1:32" ht="34.5" customHeight="1">
      <c r="A175" s="3439" t="s">
        <v>7046</v>
      </c>
      <c r="B175" s="3440"/>
      <c r="C175" s="3440"/>
      <c r="D175" s="3440"/>
      <c r="E175" s="3440"/>
      <c r="F175" s="3440"/>
      <c r="G175" s="3440"/>
      <c r="H175" s="3440"/>
      <c r="I175" s="3440"/>
      <c r="J175" s="3440"/>
      <c r="K175" s="3440"/>
      <c r="L175" s="3440"/>
      <c r="M175" s="3440"/>
      <c r="N175" s="3440"/>
      <c r="O175" s="3440"/>
      <c r="P175" s="3440"/>
      <c r="Q175" s="3441"/>
      <c r="U175" s="135"/>
      <c r="V175" s="135"/>
      <c r="W175" s="135"/>
      <c r="X175" s="135"/>
      <c r="Y175" s="135"/>
      <c r="Z175" s="135"/>
      <c r="AA175" s="135"/>
      <c r="AB175" s="135"/>
      <c r="AC175" s="135"/>
      <c r="AD175" s="135"/>
      <c r="AE175" s="457"/>
    </row>
    <row r="176" spans="1:32" ht="12" customHeight="1">
      <c r="B176" s="136" t="s">
        <v>1820</v>
      </c>
      <c r="C176" s="137"/>
      <c r="D176" s="2381"/>
      <c r="E176" s="2381"/>
      <c r="F176" s="2381"/>
      <c r="G176" s="2381"/>
      <c r="H176" s="2381"/>
      <c r="I176" s="2381"/>
      <c r="J176" s="2381"/>
      <c r="K176" s="2381"/>
      <c r="L176" s="2381"/>
      <c r="M176" s="2381"/>
      <c r="N176" s="2381"/>
      <c r="O176" s="2381"/>
      <c r="P176" s="2381"/>
      <c r="Q176" s="2381"/>
    </row>
    <row r="177" spans="1:31" ht="11.4" customHeight="1">
      <c r="A177" s="3433"/>
      <c r="B177" s="3434"/>
      <c r="C177" s="3434"/>
      <c r="D177" s="3434"/>
      <c r="E177" s="3434"/>
      <c r="F177" s="3434"/>
      <c r="G177" s="3434"/>
      <c r="H177" s="3434"/>
      <c r="I177" s="3434"/>
      <c r="J177" s="3434"/>
      <c r="K177" s="3434"/>
      <c r="L177" s="3434"/>
      <c r="M177" s="3434"/>
      <c r="N177" s="3434"/>
      <c r="O177" s="3434"/>
      <c r="P177" s="3434"/>
      <c r="Q177" s="3435"/>
    </row>
    <row r="178" spans="1:31" ht="3" customHeight="1">
      <c r="A178" s="2375"/>
      <c r="B178" s="2399"/>
      <c r="C178" s="2381"/>
      <c r="D178" s="2381"/>
      <c r="E178" s="2381"/>
      <c r="F178" s="2381"/>
      <c r="G178" s="2381"/>
      <c r="H178" s="2381"/>
      <c r="I178" s="2381"/>
      <c r="J178" s="2381"/>
      <c r="K178" s="2381"/>
      <c r="L178" s="2381"/>
      <c r="M178" s="2381"/>
      <c r="Q178" s="2375"/>
    </row>
    <row r="179" spans="1:31" ht="14.1" customHeight="1">
      <c r="A179" s="2373" t="s">
        <v>418</v>
      </c>
      <c r="B179" s="2373" t="s">
        <v>2584</v>
      </c>
      <c r="C179" s="2373"/>
      <c r="D179" s="2381"/>
      <c r="E179" s="2381"/>
      <c r="F179" s="2381"/>
      <c r="G179" s="2381"/>
      <c r="H179" s="2381"/>
      <c r="I179" s="2381"/>
      <c r="J179" s="2381"/>
      <c r="K179" s="2381"/>
      <c r="L179" s="2381"/>
      <c r="M179" s="2381"/>
      <c r="O179" s="131" t="s">
        <v>1821</v>
      </c>
      <c r="P179" s="3442"/>
      <c r="Q179" s="3429"/>
    </row>
    <row r="180" spans="1:31" ht="21.75" customHeight="1">
      <c r="A180" s="141" t="s">
        <v>1936</v>
      </c>
      <c r="B180" s="3443" t="s">
        <v>3557</v>
      </c>
      <c r="C180" s="3443"/>
      <c r="D180" s="3443"/>
      <c r="E180" s="3443"/>
      <c r="F180" s="3443"/>
      <c r="G180" s="3443"/>
      <c r="H180" s="3443"/>
      <c r="I180" s="3443"/>
      <c r="J180" s="3443"/>
      <c r="K180" s="3443"/>
      <c r="L180" s="3443"/>
      <c r="M180" s="3443"/>
      <c r="N180" s="3443"/>
      <c r="O180" s="160" t="s">
        <v>1936</v>
      </c>
      <c r="P180" s="2268" t="s">
        <v>2886</v>
      </c>
      <c r="Q180" s="1088"/>
    </row>
    <row r="181" spans="1:31" ht="22.35" customHeight="1">
      <c r="A181" s="141" t="s">
        <v>1938</v>
      </c>
      <c r="B181" s="3443" t="s">
        <v>4261</v>
      </c>
      <c r="C181" s="3443"/>
      <c r="D181" s="3443"/>
      <c r="E181" s="3443"/>
      <c r="F181" s="3443"/>
      <c r="G181" s="3443"/>
      <c r="H181" s="3443"/>
      <c r="I181" s="3443"/>
      <c r="J181" s="3443"/>
      <c r="K181" s="3443"/>
      <c r="L181" s="3443"/>
      <c r="M181" s="3443"/>
      <c r="N181" s="3443"/>
      <c r="O181" s="160" t="s">
        <v>1938</v>
      </c>
      <c r="P181" s="2387" t="s">
        <v>7047</v>
      </c>
      <c r="Q181" s="2395"/>
    </row>
    <row r="182" spans="1:31" ht="22.35" customHeight="1">
      <c r="A182" s="141" t="s">
        <v>731</v>
      </c>
      <c r="B182" s="3443" t="s">
        <v>3558</v>
      </c>
      <c r="C182" s="3443"/>
      <c r="D182" s="3443"/>
      <c r="E182" s="3443"/>
      <c r="F182" s="3443"/>
      <c r="G182" s="3443"/>
      <c r="H182" s="3443"/>
      <c r="I182" s="3443"/>
      <c r="J182" s="3443"/>
      <c r="K182" s="3443"/>
      <c r="L182" s="3443"/>
      <c r="M182" s="3443"/>
      <c r="N182" s="3443"/>
      <c r="O182" s="160" t="s">
        <v>731</v>
      </c>
      <c r="P182" s="2387" t="s">
        <v>7047</v>
      </c>
      <c r="Q182" s="2395"/>
    </row>
    <row r="183" spans="1:31" ht="21.75" customHeight="1">
      <c r="A183" s="141" t="s">
        <v>2065</v>
      </c>
      <c r="B183" s="3443" t="s">
        <v>4353</v>
      </c>
      <c r="C183" s="3443"/>
      <c r="D183" s="3443"/>
      <c r="E183" s="3443"/>
      <c r="F183" s="3443"/>
      <c r="G183" s="3443"/>
      <c r="H183" s="3443"/>
      <c r="I183" s="3443"/>
      <c r="J183" s="3443"/>
      <c r="K183" s="3443"/>
      <c r="L183" s="3443"/>
      <c r="M183" s="3443"/>
      <c r="N183" s="3443"/>
      <c r="O183" s="160" t="s">
        <v>2065</v>
      </c>
      <c r="P183" s="2388" t="s">
        <v>7047</v>
      </c>
      <c r="Q183" s="2251"/>
    </row>
    <row r="184" spans="1:31" ht="12" customHeight="1">
      <c r="B184" s="140" t="s">
        <v>3566</v>
      </c>
      <c r="D184" s="140"/>
      <c r="E184" s="140"/>
      <c r="F184" s="140"/>
      <c r="G184" s="140"/>
      <c r="H184" s="40"/>
      <c r="I184" s="2399"/>
      <c r="J184" s="2399"/>
      <c r="K184" s="2399"/>
      <c r="L184" s="2375"/>
      <c r="M184" s="2375"/>
      <c r="N184" s="2375"/>
      <c r="O184" s="2375"/>
      <c r="P184" s="2375"/>
      <c r="Q184" s="855"/>
    </row>
    <row r="185" spans="1:31" ht="11.4" customHeight="1">
      <c r="A185" s="3439" t="s">
        <v>7048</v>
      </c>
      <c r="B185" s="3440"/>
      <c r="C185" s="3440"/>
      <c r="D185" s="3440"/>
      <c r="E185" s="3440"/>
      <c r="F185" s="3440"/>
      <c r="G185" s="3440"/>
      <c r="H185" s="3440"/>
      <c r="I185" s="3440"/>
      <c r="J185" s="3440"/>
      <c r="K185" s="3440"/>
      <c r="L185" s="3440"/>
      <c r="M185" s="3440"/>
      <c r="N185" s="3440"/>
      <c r="O185" s="3440"/>
      <c r="P185" s="3440"/>
      <c r="Q185" s="3441"/>
      <c r="U185" s="135"/>
      <c r="V185" s="135"/>
      <c r="W185" s="135"/>
      <c r="X185" s="135"/>
      <c r="Y185" s="135"/>
      <c r="Z185" s="135"/>
      <c r="AA185" s="135"/>
      <c r="AB185" s="135"/>
      <c r="AC185" s="135"/>
      <c r="AD185" s="135"/>
      <c r="AE185" s="457"/>
    </row>
    <row r="186" spans="1:31" ht="12" customHeight="1">
      <c r="B186" s="136" t="s">
        <v>1820</v>
      </c>
      <c r="C186" s="137"/>
      <c r="D186" s="2381"/>
      <c r="E186" s="2381"/>
      <c r="F186" s="2381"/>
      <c r="G186" s="2381"/>
      <c r="H186" s="2381"/>
      <c r="I186" s="2381"/>
      <c r="J186" s="2381"/>
      <c r="K186" s="2381"/>
      <c r="L186" s="2381"/>
      <c r="M186" s="2381"/>
      <c r="N186" s="2381"/>
      <c r="O186" s="2381"/>
      <c r="P186" s="2381"/>
      <c r="Q186" s="2381"/>
    </row>
    <row r="187" spans="1:31" ht="11.4" customHeight="1">
      <c r="A187" s="3433"/>
      <c r="B187" s="3434"/>
      <c r="C187" s="3434"/>
      <c r="D187" s="3434"/>
      <c r="E187" s="3434"/>
      <c r="F187" s="3434"/>
      <c r="G187" s="3434"/>
      <c r="H187" s="3434"/>
      <c r="I187" s="3434"/>
      <c r="J187" s="3434"/>
      <c r="K187" s="3434"/>
      <c r="L187" s="3434"/>
      <c r="M187" s="3434"/>
      <c r="N187" s="3434"/>
      <c r="O187" s="3434"/>
      <c r="P187" s="3434"/>
      <c r="Q187" s="3435"/>
    </row>
    <row r="188" spans="1:31" ht="3" customHeight="1">
      <c r="B188" s="2399"/>
      <c r="C188" s="2381"/>
      <c r="D188" s="2381"/>
      <c r="E188" s="2381"/>
      <c r="F188" s="2381"/>
      <c r="G188" s="2381"/>
      <c r="H188" s="2381"/>
      <c r="I188" s="2381"/>
      <c r="J188" s="2381"/>
      <c r="K188" s="2381"/>
      <c r="L188" s="2381"/>
      <c r="M188" s="2381"/>
      <c r="N188" s="2381"/>
      <c r="O188" s="2381"/>
      <c r="P188" s="2381"/>
      <c r="Q188" s="2375"/>
    </row>
    <row r="189" spans="1:31" ht="14.1" customHeight="1">
      <c r="A189" s="2354" t="s">
        <v>356</v>
      </c>
      <c r="B189" s="3348" t="s">
        <v>2585</v>
      </c>
      <c r="C189" s="3348"/>
      <c r="D189" s="3348"/>
      <c r="O189" s="131" t="s">
        <v>1821</v>
      </c>
      <c r="P189" s="3442"/>
      <c r="Q189" s="3429"/>
    </row>
    <row r="190" spans="1:31" ht="12" customHeight="1">
      <c r="A190" s="141" t="s">
        <v>1936</v>
      </c>
      <c r="B190" s="842" t="s">
        <v>459</v>
      </c>
      <c r="D190" s="842"/>
      <c r="E190" s="842"/>
      <c r="F190" s="842"/>
      <c r="G190" s="842"/>
      <c r="H190" s="842"/>
      <c r="I190" s="842"/>
      <c r="J190" s="842"/>
      <c r="K190" s="842"/>
      <c r="L190" s="842"/>
      <c r="M190" s="842"/>
      <c r="O190" s="160" t="s">
        <v>1936</v>
      </c>
      <c r="P190" s="2256"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2886</v>
      </c>
      <c r="Q191" s="519"/>
    </row>
    <row r="192" spans="1:31" ht="12" customHeight="1">
      <c r="A192" s="141" t="s">
        <v>731</v>
      </c>
      <c r="B192" s="842" t="s">
        <v>2572</v>
      </c>
      <c r="D192" s="842"/>
      <c r="E192" s="842"/>
      <c r="F192" s="842"/>
      <c r="G192" s="842"/>
      <c r="H192" s="842"/>
      <c r="I192" s="842"/>
      <c r="J192" s="139" t="s">
        <v>4365</v>
      </c>
      <c r="L192" s="842"/>
      <c r="M192" s="842"/>
      <c r="O192" s="160" t="s">
        <v>731</v>
      </c>
      <c r="P192" s="2257" t="s">
        <v>2886</v>
      </c>
      <c r="Q192" s="519"/>
    </row>
    <row r="193" spans="1:32" ht="12" customHeight="1">
      <c r="B193" s="40" t="s">
        <v>1694</v>
      </c>
      <c r="C193" s="856" t="s">
        <v>2573</v>
      </c>
      <c r="G193" s="842"/>
      <c r="H193" s="842"/>
      <c r="J193" s="842"/>
      <c r="K193" s="842"/>
      <c r="L193" s="842"/>
      <c r="M193" s="842"/>
      <c r="O193" s="438" t="s">
        <v>1694</v>
      </c>
      <c r="P193" s="2257" t="s">
        <v>2886</v>
      </c>
      <c r="Q193" s="519"/>
    </row>
    <row r="194" spans="1:32" ht="12" customHeight="1">
      <c r="A194" s="139"/>
      <c r="B194" s="40" t="s">
        <v>1695</v>
      </c>
      <c r="C194" s="856" t="s">
        <v>2574</v>
      </c>
      <c r="G194" s="842"/>
      <c r="H194" s="842"/>
      <c r="I194" s="842"/>
      <c r="J194" s="842"/>
      <c r="K194" s="842"/>
      <c r="L194" s="842"/>
      <c r="M194" s="842"/>
      <c r="O194" s="438" t="s">
        <v>1695</v>
      </c>
      <c r="P194" s="2257" t="s">
        <v>2886</v>
      </c>
      <c r="Q194" s="519"/>
    </row>
    <row r="195" spans="1:32" s="132" customFormat="1" ht="21.75" customHeight="1">
      <c r="A195" s="141"/>
      <c r="B195" s="468" t="s">
        <v>1696</v>
      </c>
      <c r="C195" s="3443" t="s">
        <v>3559</v>
      </c>
      <c r="D195" s="3443"/>
      <c r="E195" s="3443"/>
      <c r="F195" s="3443"/>
      <c r="G195" s="3443"/>
      <c r="H195" s="3443"/>
      <c r="I195" s="3443"/>
      <c r="J195" s="3443"/>
      <c r="K195" s="3443"/>
      <c r="L195" s="3443"/>
      <c r="M195" s="3443"/>
      <c r="N195" s="3443"/>
      <c r="O195" s="160" t="s">
        <v>1696</v>
      </c>
      <c r="P195" s="2387" t="s">
        <v>2886</v>
      </c>
      <c r="Q195" s="2395"/>
      <c r="AE195" s="458"/>
      <c r="AF195" s="458"/>
    </row>
    <row r="196" spans="1:32" ht="12" customHeight="1">
      <c r="A196" s="141"/>
      <c r="B196" s="40" t="s">
        <v>2305</v>
      </c>
      <c r="C196" s="856" t="s">
        <v>2575</v>
      </c>
      <c r="G196" s="842"/>
      <c r="H196" s="842"/>
      <c r="I196" s="842"/>
      <c r="J196" s="842"/>
      <c r="K196" s="842"/>
      <c r="L196" s="842"/>
      <c r="M196" s="842"/>
      <c r="O196" s="438" t="s">
        <v>2305</v>
      </c>
      <c r="P196" s="2257" t="s">
        <v>2886</v>
      </c>
      <c r="Q196" s="519"/>
    </row>
    <row r="197" spans="1:32" s="132" customFormat="1" ht="21.75" customHeight="1">
      <c r="A197" s="141"/>
      <c r="B197" s="468" t="s">
        <v>1516</v>
      </c>
      <c r="C197" s="3443" t="s">
        <v>2576</v>
      </c>
      <c r="D197" s="3443"/>
      <c r="E197" s="3443"/>
      <c r="F197" s="3443"/>
      <c r="G197" s="3443"/>
      <c r="H197" s="3443"/>
      <c r="I197" s="3443"/>
      <c r="J197" s="3443"/>
      <c r="K197" s="3443"/>
      <c r="L197" s="3443"/>
      <c r="M197" s="3443"/>
      <c r="N197" s="3443"/>
      <c r="O197" s="160" t="s">
        <v>1516</v>
      </c>
      <c r="P197" s="2387" t="s">
        <v>7047</v>
      </c>
      <c r="Q197" s="2395"/>
      <c r="AE197" s="458"/>
      <c r="AF197" s="458"/>
    </row>
    <row r="198" spans="1:32" s="132" customFormat="1" ht="21.75" customHeight="1">
      <c r="A198" s="141"/>
      <c r="B198" s="468" t="s">
        <v>1517</v>
      </c>
      <c r="C198" s="3443" t="s">
        <v>3668</v>
      </c>
      <c r="D198" s="3443"/>
      <c r="E198" s="3443"/>
      <c r="F198" s="3443"/>
      <c r="G198" s="3443"/>
      <c r="H198" s="3443"/>
      <c r="I198" s="3443"/>
      <c r="J198" s="3443"/>
      <c r="K198" s="3443"/>
      <c r="L198" s="3443"/>
      <c r="M198" s="3443"/>
      <c r="N198" s="3443"/>
      <c r="O198" s="160" t="s">
        <v>1517</v>
      </c>
      <c r="P198" s="2387" t="s">
        <v>7047</v>
      </c>
      <c r="Q198" s="2395"/>
      <c r="AE198" s="458"/>
      <c r="AF198" s="458"/>
    </row>
    <row r="199" spans="1:32" ht="21.75" customHeight="1">
      <c r="A199" s="141" t="s">
        <v>2065</v>
      </c>
      <c r="B199" s="3443" t="s">
        <v>2577</v>
      </c>
      <c r="C199" s="3443"/>
      <c r="D199" s="3443"/>
      <c r="E199" s="3443"/>
      <c r="F199" s="3443"/>
      <c r="G199" s="3443"/>
      <c r="H199" s="3443"/>
      <c r="I199" s="3443"/>
      <c r="J199" s="3443"/>
      <c r="K199" s="3443"/>
      <c r="L199" s="3443"/>
      <c r="M199" s="3443"/>
      <c r="N199" s="3443"/>
      <c r="O199" s="160" t="s">
        <v>2065</v>
      </c>
      <c r="P199" s="2387" t="s">
        <v>2886</v>
      </c>
      <c r="Q199" s="2395"/>
    </row>
    <row r="200" spans="1:32" ht="12" customHeight="1">
      <c r="A200" s="141" t="s">
        <v>1692</v>
      </c>
      <c r="B200" s="842" t="s">
        <v>2318</v>
      </c>
      <c r="D200" s="842"/>
      <c r="E200" s="842"/>
      <c r="F200" s="842"/>
      <c r="G200" s="842"/>
      <c r="H200" s="842"/>
      <c r="I200" s="842"/>
      <c r="J200" s="842"/>
      <c r="K200" s="842"/>
      <c r="L200" s="842"/>
      <c r="M200" s="842"/>
      <c r="O200" s="160" t="s">
        <v>1692</v>
      </c>
      <c r="P200" s="2258" t="s">
        <v>2886</v>
      </c>
      <c r="Q200" s="520"/>
    </row>
    <row r="201" spans="1:32" ht="12" customHeight="1">
      <c r="B201" s="140" t="s">
        <v>3566</v>
      </c>
      <c r="D201" s="140"/>
      <c r="E201" s="140"/>
      <c r="F201" s="140"/>
      <c r="G201" s="140"/>
      <c r="H201" s="40"/>
      <c r="I201" s="2399"/>
      <c r="J201" s="2399"/>
      <c r="K201" s="2399"/>
      <c r="L201" s="2375"/>
      <c r="M201" s="2375"/>
      <c r="N201" s="2375"/>
      <c r="O201" s="2375"/>
      <c r="P201" s="2375"/>
      <c r="Q201" s="855"/>
    </row>
    <row r="202" spans="1:32" ht="39.75" customHeight="1">
      <c r="A202" s="3439" t="s">
        <v>7086</v>
      </c>
      <c r="B202" s="3440"/>
      <c r="C202" s="3440"/>
      <c r="D202" s="3440"/>
      <c r="E202" s="3440"/>
      <c r="F202" s="3440"/>
      <c r="G202" s="3440"/>
      <c r="H202" s="3440"/>
      <c r="I202" s="3440"/>
      <c r="J202" s="3440"/>
      <c r="K202" s="3440"/>
      <c r="L202" s="3440"/>
      <c r="M202" s="3440"/>
      <c r="N202" s="3440"/>
      <c r="O202" s="3440"/>
      <c r="P202" s="3440"/>
      <c r="Q202" s="3441"/>
      <c r="U202" s="135"/>
      <c r="V202" s="135"/>
      <c r="W202" s="135"/>
      <c r="X202" s="135"/>
      <c r="Y202" s="135"/>
      <c r="Z202" s="135"/>
      <c r="AA202" s="135"/>
      <c r="AB202" s="135"/>
      <c r="AC202" s="135"/>
      <c r="AD202" s="135"/>
      <c r="AE202" s="457"/>
    </row>
    <row r="203" spans="1:32" ht="12" customHeight="1">
      <c r="B203" s="136" t="s">
        <v>1820</v>
      </c>
      <c r="C203" s="137"/>
      <c r="D203" s="2381"/>
      <c r="E203" s="2381"/>
      <c r="F203" s="2381"/>
      <c r="G203" s="2381"/>
      <c r="H203" s="2381"/>
      <c r="I203" s="2381"/>
      <c r="J203" s="2381"/>
      <c r="K203" s="2381"/>
      <c r="L203" s="2381"/>
      <c r="M203" s="2381"/>
      <c r="N203" s="2381"/>
      <c r="O203" s="2381"/>
      <c r="P203" s="2381"/>
      <c r="Q203" s="2381"/>
    </row>
    <row r="204" spans="1:32" ht="11.4" customHeight="1">
      <c r="A204" s="3433"/>
      <c r="B204" s="3434"/>
      <c r="C204" s="3434"/>
      <c r="D204" s="3434"/>
      <c r="E204" s="3434"/>
      <c r="F204" s="3434"/>
      <c r="G204" s="3434"/>
      <c r="H204" s="3434"/>
      <c r="I204" s="3434"/>
      <c r="J204" s="3434"/>
      <c r="K204" s="3434"/>
      <c r="L204" s="3434"/>
      <c r="M204" s="3434"/>
      <c r="N204" s="3434"/>
      <c r="O204" s="3434"/>
      <c r="P204" s="3434"/>
      <c r="Q204" s="3435"/>
    </row>
    <row r="205" spans="1:32" ht="3" customHeight="1">
      <c r="A205" s="2375"/>
      <c r="B205" s="2399"/>
      <c r="C205" s="2381"/>
      <c r="D205" s="2381"/>
      <c r="E205" s="2381"/>
      <c r="F205" s="2381"/>
      <c r="G205" s="2381"/>
      <c r="H205" s="2381"/>
      <c r="I205" s="2381"/>
      <c r="J205" s="2381"/>
      <c r="K205" s="2381"/>
      <c r="L205" s="2381"/>
      <c r="M205" s="2381"/>
      <c r="N205" s="2381"/>
      <c r="O205" s="2381"/>
      <c r="P205" s="2381"/>
      <c r="Q205" s="2375"/>
    </row>
    <row r="206" spans="1:32" ht="14.1" customHeight="1">
      <c r="A206" s="2373" t="s">
        <v>357</v>
      </c>
      <c r="B206" s="2373" t="s">
        <v>2586</v>
      </c>
      <c r="C206" s="2373"/>
      <c r="D206" s="2381"/>
      <c r="E206" s="146"/>
      <c r="F206" s="146"/>
      <c r="G206" s="2381"/>
      <c r="J206" s="857"/>
      <c r="K206" s="857"/>
      <c r="L206" s="857"/>
      <c r="M206" s="857"/>
      <c r="N206" s="857"/>
      <c r="O206" s="131" t="s">
        <v>1821</v>
      </c>
      <c r="P206" s="3442"/>
      <c r="Q206" s="3429"/>
    </row>
    <row r="207" spans="1:32" ht="22.5" customHeight="1">
      <c r="A207" s="3454" t="s">
        <v>4483</v>
      </c>
      <c r="B207" s="3454"/>
      <c r="C207" s="3454"/>
      <c r="D207" s="3454"/>
      <c r="E207" s="3454"/>
      <c r="F207" s="3454"/>
      <c r="G207" s="3454"/>
      <c r="H207" s="3454"/>
      <c r="I207" s="3454"/>
      <c r="J207" s="3454"/>
      <c r="K207" s="3454"/>
      <c r="L207" s="3454"/>
      <c r="M207" s="3454"/>
      <c r="N207" s="3454"/>
      <c r="O207" s="3454"/>
      <c r="P207" s="3454"/>
      <c r="Q207" s="3454"/>
    </row>
    <row r="208" spans="1:32" ht="11.25" customHeight="1">
      <c r="A208" s="138"/>
      <c r="B208" s="139" t="s">
        <v>95</v>
      </c>
      <c r="D208" s="139"/>
      <c r="E208" s="139"/>
      <c r="F208" s="139"/>
      <c r="G208" s="139"/>
      <c r="H208" s="65" t="s">
        <v>1694</v>
      </c>
      <c r="I208" s="52" t="s">
        <v>148</v>
      </c>
      <c r="J208" s="3458" t="s">
        <v>1797</v>
      </c>
      <c r="K208" s="3526"/>
      <c r="L208" s="3526"/>
      <c r="M208" s="3526"/>
      <c r="N208" s="3459"/>
      <c r="O208" s="65" t="s">
        <v>1694</v>
      </c>
      <c r="P208" s="2256" t="s">
        <v>2889</v>
      </c>
      <c r="Q208" s="518"/>
    </row>
    <row r="209" spans="1:31" ht="11.25" customHeight="1">
      <c r="A209" s="138"/>
      <c r="B209" s="140" t="s">
        <v>3566</v>
      </c>
      <c r="C209" s="104"/>
      <c r="D209" s="104"/>
      <c r="E209" s="104"/>
      <c r="F209" s="104"/>
      <c r="H209" s="65" t="s">
        <v>1695</v>
      </c>
      <c r="I209" s="52" t="s">
        <v>1563</v>
      </c>
      <c r="J209" s="3444" t="s">
        <v>7087</v>
      </c>
      <c r="K209" s="3445"/>
      <c r="L209" s="3445"/>
      <c r="M209" s="3445"/>
      <c r="N209" s="3446"/>
      <c r="O209" s="65" t="s">
        <v>1695</v>
      </c>
      <c r="P209" s="2258" t="s">
        <v>2886</v>
      </c>
      <c r="Q209" s="520"/>
    </row>
    <row r="210" spans="1:31" ht="11.4" customHeight="1">
      <c r="A210" s="3439" t="s">
        <v>7088</v>
      </c>
      <c r="B210" s="3440"/>
      <c r="C210" s="3440"/>
      <c r="D210" s="3440"/>
      <c r="E210" s="3440"/>
      <c r="F210" s="3440"/>
      <c r="G210" s="3440"/>
      <c r="H210" s="3440"/>
      <c r="I210" s="3440"/>
      <c r="J210" s="3440"/>
      <c r="K210" s="3440"/>
      <c r="L210" s="3440"/>
      <c r="M210" s="3440"/>
      <c r="N210" s="3440"/>
      <c r="O210" s="3440"/>
      <c r="P210" s="3440"/>
      <c r="Q210" s="3441"/>
      <c r="U210" s="135"/>
      <c r="V210" s="135"/>
      <c r="W210" s="135"/>
      <c r="X210" s="135"/>
      <c r="Y210" s="135"/>
      <c r="Z210" s="135"/>
      <c r="AA210" s="135"/>
      <c r="AB210" s="135"/>
      <c r="AC210" s="135"/>
      <c r="AD210" s="135"/>
      <c r="AE210" s="457"/>
    </row>
    <row r="211" spans="1:31" ht="11.25" customHeight="1">
      <c r="B211" s="136" t="s">
        <v>1820</v>
      </c>
      <c r="C211" s="137"/>
      <c r="D211" s="2381"/>
      <c r="E211" s="2381"/>
      <c r="F211" s="2381"/>
      <c r="G211" s="2381"/>
      <c r="H211" s="2381"/>
      <c r="I211" s="2381"/>
      <c r="J211" s="2381"/>
      <c r="K211" s="2381"/>
      <c r="L211" s="2381"/>
      <c r="M211" s="2381"/>
      <c r="N211" s="2381"/>
      <c r="O211" s="2381"/>
      <c r="P211" s="2381"/>
      <c r="Q211" s="2381"/>
    </row>
    <row r="212" spans="1:31" ht="11.4" customHeight="1">
      <c r="A212" s="3433"/>
      <c r="B212" s="3434"/>
      <c r="C212" s="3434"/>
      <c r="D212" s="3434"/>
      <c r="E212" s="3434"/>
      <c r="F212" s="3434"/>
      <c r="G212" s="3434"/>
      <c r="H212" s="3434"/>
      <c r="I212" s="3434"/>
      <c r="J212" s="3434"/>
      <c r="K212" s="3434"/>
      <c r="L212" s="3434"/>
      <c r="M212" s="3434"/>
      <c r="N212" s="3434"/>
      <c r="O212" s="3434"/>
      <c r="P212" s="3434"/>
      <c r="Q212" s="3435"/>
    </row>
    <row r="213" spans="1:31" ht="4.3499999999999996" customHeight="1">
      <c r="B213" s="2399"/>
      <c r="C213" s="2381"/>
      <c r="D213" s="2381"/>
      <c r="E213" s="2381"/>
      <c r="F213" s="2381"/>
      <c r="G213" s="2381"/>
      <c r="H213" s="2381"/>
      <c r="I213" s="2381"/>
      <c r="J213" s="2381"/>
      <c r="K213" s="2381"/>
      <c r="L213" s="2381"/>
      <c r="M213" s="2381"/>
      <c r="Q213" s="855"/>
    </row>
    <row r="214" spans="1:31" ht="14.1" customHeight="1">
      <c r="A214" s="2373" t="s">
        <v>358</v>
      </c>
      <c r="B214" s="4" t="s">
        <v>2587</v>
      </c>
      <c r="C214" s="4"/>
      <c r="D214" s="86"/>
      <c r="E214" s="86"/>
      <c r="F214" s="86"/>
      <c r="G214" s="2381"/>
      <c r="H214" s="2381"/>
      <c r="I214" s="2381"/>
      <c r="J214" s="2381"/>
      <c r="K214" s="2381"/>
      <c r="L214" s="2381"/>
      <c r="M214" s="2381"/>
      <c r="O214" s="131" t="s">
        <v>1821</v>
      </c>
      <c r="P214" s="3442"/>
      <c r="Q214" s="3429"/>
    </row>
    <row r="215" spans="1:31" ht="11.4" customHeight="1">
      <c r="A215" s="141" t="s">
        <v>1936</v>
      </c>
      <c r="B215" s="3443" t="s">
        <v>1803</v>
      </c>
      <c r="C215" s="3443"/>
      <c r="D215" s="3443"/>
      <c r="E215" s="3443"/>
      <c r="F215" s="3443"/>
      <c r="G215" s="3443"/>
      <c r="H215" s="65" t="s">
        <v>1694</v>
      </c>
      <c r="I215" s="52" t="s">
        <v>617</v>
      </c>
      <c r="J215" s="3458" t="s">
        <v>7089</v>
      </c>
      <c r="K215" s="3526"/>
      <c r="L215" s="3526"/>
      <c r="M215" s="3526"/>
      <c r="N215" s="3459"/>
      <c r="O215" s="160" t="s">
        <v>1455</v>
      </c>
      <c r="P215" s="2264" t="s">
        <v>2886</v>
      </c>
      <c r="Q215" s="1553"/>
    </row>
    <row r="216" spans="1:31" ht="11.4" customHeight="1">
      <c r="A216" s="149"/>
      <c r="B216" s="3443"/>
      <c r="C216" s="3443"/>
      <c r="D216" s="3443"/>
      <c r="E216" s="3443"/>
      <c r="F216" s="3443"/>
      <c r="G216" s="3443"/>
      <c r="H216" s="65" t="s">
        <v>1695</v>
      </c>
      <c r="I216" s="52" t="s">
        <v>113</v>
      </c>
      <c r="J216" s="3444" t="s">
        <v>7089</v>
      </c>
      <c r="K216" s="3445"/>
      <c r="L216" s="3445"/>
      <c r="M216" s="3445"/>
      <c r="N216" s="3446"/>
      <c r="O216" s="160" t="s">
        <v>1695</v>
      </c>
      <c r="P216" s="2257" t="s">
        <v>2886</v>
      </c>
      <c r="Q216" s="519"/>
    </row>
    <row r="217" spans="1:31" ht="12" customHeight="1">
      <c r="A217" s="141" t="s">
        <v>1938</v>
      </c>
      <c r="B217" s="52" t="s">
        <v>3673</v>
      </c>
      <c r="D217" s="52"/>
      <c r="E217" s="52"/>
      <c r="F217" s="52"/>
      <c r="G217" s="52"/>
      <c r="H217" s="52"/>
      <c r="I217" s="52"/>
      <c r="J217" s="52"/>
      <c r="K217" s="42"/>
      <c r="L217" s="52"/>
      <c r="M217" s="52"/>
      <c r="O217" s="455" t="s">
        <v>1938</v>
      </c>
      <c r="P217" s="2257"/>
      <c r="Q217" s="519"/>
    </row>
    <row r="218" spans="1:31" ht="12" customHeight="1">
      <c r="A218" s="47" t="s">
        <v>731</v>
      </c>
      <c r="B218" s="52" t="s">
        <v>3674</v>
      </c>
      <c r="D218" s="52"/>
      <c r="E218" s="52"/>
      <c r="F218" s="52"/>
      <c r="G218" s="52"/>
      <c r="H218" s="52"/>
      <c r="I218" s="52"/>
      <c r="J218" s="52"/>
      <c r="K218" s="42"/>
      <c r="L218" s="52"/>
      <c r="M218" s="52"/>
      <c r="O218" s="455" t="s">
        <v>731</v>
      </c>
      <c r="P218" s="2258"/>
      <c r="Q218" s="520"/>
    </row>
    <row r="219" spans="1:31" ht="11.25" customHeight="1">
      <c r="B219" s="140" t="s">
        <v>3566</v>
      </c>
      <c r="D219" s="140"/>
      <c r="E219" s="140"/>
      <c r="F219" s="140"/>
      <c r="G219" s="140"/>
      <c r="H219" s="40"/>
      <c r="I219" s="2399"/>
      <c r="J219" s="2399"/>
      <c r="K219" s="2399"/>
      <c r="L219" s="2375"/>
      <c r="M219" s="2375"/>
      <c r="N219" s="2375"/>
      <c r="O219" s="2375"/>
      <c r="P219" s="2375"/>
      <c r="Q219" s="855"/>
    </row>
    <row r="220" spans="1:31" ht="11.4" customHeight="1">
      <c r="A220" s="3439" t="s">
        <v>7090</v>
      </c>
      <c r="B220" s="3440"/>
      <c r="C220" s="3440"/>
      <c r="D220" s="3440"/>
      <c r="E220" s="3440"/>
      <c r="F220" s="3440"/>
      <c r="G220" s="3440"/>
      <c r="H220" s="3440"/>
      <c r="I220" s="3440"/>
      <c r="J220" s="3440"/>
      <c r="K220" s="3440"/>
      <c r="L220" s="3440"/>
      <c r="M220" s="3440"/>
      <c r="N220" s="3440"/>
      <c r="O220" s="3440"/>
      <c r="P220" s="3440"/>
      <c r="Q220" s="3441"/>
      <c r="U220" s="135"/>
      <c r="V220" s="135"/>
      <c r="W220" s="135"/>
      <c r="X220" s="135"/>
      <c r="Y220" s="135"/>
      <c r="Z220" s="135"/>
      <c r="AA220" s="135"/>
      <c r="AB220" s="135"/>
      <c r="AC220" s="135"/>
      <c r="AD220" s="135"/>
      <c r="AE220" s="457"/>
    </row>
    <row r="221" spans="1:31" ht="11.25" customHeight="1">
      <c r="B221" s="136" t="s">
        <v>1820</v>
      </c>
      <c r="C221" s="137"/>
      <c r="D221" s="2381"/>
      <c r="E221" s="2381"/>
      <c r="F221" s="2381"/>
      <c r="G221" s="2381"/>
      <c r="H221" s="2381"/>
      <c r="I221" s="2381"/>
      <c r="J221" s="2381"/>
      <c r="K221" s="2381"/>
      <c r="L221" s="2381"/>
      <c r="M221" s="2381"/>
      <c r="N221" s="2381"/>
      <c r="O221" s="2381"/>
      <c r="P221" s="2381"/>
      <c r="Q221" s="2381"/>
    </row>
    <row r="222" spans="1:31" ht="11.4" customHeight="1">
      <c r="A222" s="3433"/>
      <c r="B222" s="3434"/>
      <c r="C222" s="3434"/>
      <c r="D222" s="3434"/>
      <c r="E222" s="3434"/>
      <c r="F222" s="3434"/>
      <c r="G222" s="3434"/>
      <c r="H222" s="3434"/>
      <c r="I222" s="3434"/>
      <c r="J222" s="3434"/>
      <c r="K222" s="3434"/>
      <c r="L222" s="3434"/>
      <c r="M222" s="3434"/>
      <c r="N222" s="3434"/>
      <c r="O222" s="3434"/>
      <c r="P222" s="3434"/>
      <c r="Q222" s="3435"/>
    </row>
    <row r="223" spans="1:31" ht="3" customHeight="1">
      <c r="A223" s="2375"/>
      <c r="B223" s="2399"/>
      <c r="C223" s="2381"/>
      <c r="D223" s="2381"/>
      <c r="E223" s="2381"/>
      <c r="F223" s="2381"/>
      <c r="G223" s="2381"/>
      <c r="H223" s="2381"/>
      <c r="I223" s="2381"/>
      <c r="J223" s="2381"/>
      <c r="K223" s="2381"/>
      <c r="L223" s="2381"/>
      <c r="M223" s="2381"/>
      <c r="Q223" s="2375"/>
    </row>
    <row r="224" spans="1:31" ht="14.1" customHeight="1">
      <c r="A224" s="2373" t="s">
        <v>1683</v>
      </c>
      <c r="B224" s="2373" t="s">
        <v>2588</v>
      </c>
      <c r="C224" s="113"/>
      <c r="D224" s="2381"/>
      <c r="E224" s="2381"/>
      <c r="F224" s="2381"/>
      <c r="G224" s="2381"/>
      <c r="H224" s="2381"/>
      <c r="I224" s="2381"/>
      <c r="J224" s="2381"/>
      <c r="K224" s="2381"/>
      <c r="L224" s="2381"/>
      <c r="M224" s="2381"/>
      <c r="O224" s="131" t="s">
        <v>1821</v>
      </c>
      <c r="P224" s="3442"/>
      <c r="Q224" s="3429"/>
    </row>
    <row r="225" spans="1:32" s="27" customFormat="1" ht="11.4" customHeight="1">
      <c r="B225" s="144" t="s">
        <v>1167</v>
      </c>
      <c r="N225" s="120"/>
      <c r="P225" s="2254" t="s">
        <v>2889</v>
      </c>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54" t="s">
        <v>7038</v>
      </c>
      <c r="Q226" s="518"/>
    </row>
    <row r="227" spans="1:32" ht="11.4" customHeight="1">
      <c r="A227" s="47"/>
      <c r="B227" s="145" t="s">
        <v>1694</v>
      </c>
      <c r="C227" s="52" t="s">
        <v>1884</v>
      </c>
      <c r="E227" s="52"/>
      <c r="F227" s="52"/>
      <c r="G227" s="52"/>
      <c r="H227" s="52"/>
      <c r="I227" s="42"/>
      <c r="J227" s="65" t="s">
        <v>1455</v>
      </c>
      <c r="K227" s="3458" t="s">
        <v>7049</v>
      </c>
      <c r="L227" s="3459"/>
      <c r="Q227" s="519"/>
    </row>
    <row r="228" spans="1:32" ht="11.4" customHeight="1">
      <c r="A228" s="47"/>
      <c r="B228" s="145" t="s">
        <v>1695</v>
      </c>
      <c r="C228" s="856" t="s">
        <v>4246</v>
      </c>
      <c r="E228" s="856"/>
      <c r="F228" s="856"/>
      <c r="G228" s="856"/>
      <c r="H228" s="856"/>
      <c r="I228" s="42"/>
      <c r="J228" s="65" t="s">
        <v>1456</v>
      </c>
      <c r="K228" s="3460" t="s">
        <v>7050</v>
      </c>
      <c r="L228" s="3461"/>
      <c r="M228" s="3455" t="s">
        <v>2642</v>
      </c>
      <c r="N228" s="3456"/>
      <c r="O228" s="3456"/>
      <c r="P228" s="3457"/>
      <c r="Q228" s="519"/>
    </row>
    <row r="229" spans="1:32" ht="11.4" customHeight="1">
      <c r="A229" s="47"/>
      <c r="B229" s="40" t="s">
        <v>1696</v>
      </c>
      <c r="C229" s="856" t="s">
        <v>4249</v>
      </c>
      <c r="D229" s="147"/>
      <c r="E229" s="856"/>
      <c r="F229" s="856"/>
      <c r="G229" s="856"/>
      <c r="H229" s="856"/>
      <c r="I229" s="94"/>
      <c r="J229" s="455" t="s">
        <v>1457</v>
      </c>
      <c r="K229" s="3521" t="s">
        <v>7051</v>
      </c>
      <c r="L229" s="3522"/>
      <c r="M229" s="3522"/>
      <c r="N229" s="3597"/>
      <c r="O229" s="1409"/>
      <c r="P229" s="1107"/>
      <c r="Q229" s="519"/>
      <c r="R229" s="42"/>
    </row>
    <row r="230" spans="1:32" ht="11.4" customHeight="1">
      <c r="A230" s="47"/>
      <c r="B230" s="40" t="s">
        <v>2305</v>
      </c>
      <c r="C230" s="856" t="s">
        <v>4248</v>
      </c>
      <c r="D230" s="147"/>
      <c r="E230" s="856"/>
      <c r="F230" s="856"/>
      <c r="G230" s="856"/>
      <c r="H230" s="856"/>
      <c r="I230" s="94"/>
      <c r="J230" s="455" t="s">
        <v>4247</v>
      </c>
      <c r="K230" s="3444" t="s">
        <v>7052</v>
      </c>
      <c r="L230" s="3445"/>
      <c r="M230" s="3445"/>
      <c r="N230" s="3446"/>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54" t="s">
        <v>7038</v>
      </c>
      <c r="Q231" s="516"/>
    </row>
    <row r="232" spans="1:32" ht="11.1" customHeight="1">
      <c r="A232" s="47"/>
      <c r="B232" s="52" t="s">
        <v>4401</v>
      </c>
      <c r="D232" s="52"/>
      <c r="E232" s="52"/>
      <c r="F232" s="52"/>
      <c r="G232" s="52"/>
      <c r="H232" s="52"/>
      <c r="I232" s="52"/>
      <c r="J232" s="52"/>
      <c r="K232" s="42"/>
      <c r="L232" s="42"/>
      <c r="M232" s="42"/>
      <c r="N232" s="455" t="s">
        <v>3452</v>
      </c>
      <c r="O232" s="1495">
        <f>'Part VI-Revenues &amp; Expenses'!$P$67</f>
        <v>60</v>
      </c>
      <c r="P232" s="3598" t="s">
        <v>4403</v>
      </c>
      <c r="Q232" s="3599"/>
    </row>
    <row r="233" spans="1:32" ht="11.1" customHeight="1">
      <c r="A233" s="47"/>
      <c r="B233" s="145" t="s">
        <v>1694</v>
      </c>
      <c r="C233" s="52" t="s">
        <v>4404</v>
      </c>
      <c r="D233" s="52"/>
      <c r="E233" s="52"/>
      <c r="F233" s="52"/>
      <c r="H233" s="455" t="s">
        <v>4405</v>
      </c>
      <c r="I233" s="52" t="s">
        <v>4414</v>
      </c>
      <c r="M233" s="42"/>
      <c r="N233" s="42"/>
      <c r="O233" s="292"/>
      <c r="P233" s="1486" t="s">
        <v>755</v>
      </c>
      <c r="Q233" s="1487" t="s">
        <v>4402</v>
      </c>
    </row>
    <row r="234" spans="1:32" s="43" customFormat="1" ht="11.4" customHeight="1">
      <c r="A234" s="51"/>
      <c r="B234" s="455" t="s">
        <v>2066</v>
      </c>
      <c r="C234" s="3600" t="s">
        <v>1615</v>
      </c>
      <c r="D234" s="3601"/>
      <c r="E234" s="3601"/>
      <c r="F234" s="3601"/>
      <c r="G234" s="3602"/>
      <c r="H234" s="455" t="s">
        <v>2066</v>
      </c>
      <c r="I234" s="3603" t="s">
        <v>3828</v>
      </c>
      <c r="J234" s="2902"/>
      <c r="K234" s="2902"/>
      <c r="L234" s="2902"/>
      <c r="M234" s="2902"/>
      <c r="N234" s="2902"/>
      <c r="O234" s="2903"/>
      <c r="P234" s="518"/>
      <c r="Q234" s="2626"/>
      <c r="AE234" s="54"/>
      <c r="AF234" s="54"/>
    </row>
    <row r="235" spans="1:32" s="43" customFormat="1" ht="11.4" customHeight="1">
      <c r="A235" s="51"/>
      <c r="B235" s="455" t="s">
        <v>2067</v>
      </c>
      <c r="C235" s="3604" t="s">
        <v>4397</v>
      </c>
      <c r="D235" s="3605"/>
      <c r="E235" s="3605"/>
      <c r="F235" s="3605"/>
      <c r="G235" s="3606"/>
      <c r="H235" s="455" t="s">
        <v>2067</v>
      </c>
      <c r="I235" s="2920"/>
      <c r="J235" s="2868"/>
      <c r="K235" s="2868"/>
      <c r="L235" s="2868"/>
      <c r="M235" s="2868"/>
      <c r="N235" s="2868"/>
      <c r="O235" s="2869"/>
      <c r="P235" s="519"/>
      <c r="Q235" s="2627"/>
      <c r="AE235" s="54"/>
      <c r="AF235" s="54"/>
    </row>
    <row r="236" spans="1:32" s="43" customFormat="1" ht="11.4" customHeight="1">
      <c r="A236" s="51"/>
      <c r="B236" s="455" t="s">
        <v>1691</v>
      </c>
      <c r="C236" s="3604" t="s">
        <v>992</v>
      </c>
      <c r="D236" s="3605"/>
      <c r="E236" s="3605"/>
      <c r="F236" s="3605"/>
      <c r="G236" s="3606"/>
      <c r="H236" s="455" t="s">
        <v>1691</v>
      </c>
      <c r="I236" s="2920" t="s">
        <v>3828</v>
      </c>
      <c r="J236" s="2868"/>
      <c r="K236" s="2868"/>
      <c r="L236" s="2868"/>
      <c r="M236" s="2868"/>
      <c r="N236" s="2868"/>
      <c r="O236" s="2869"/>
      <c r="P236" s="519"/>
      <c r="Q236" s="2627"/>
      <c r="AE236" s="54"/>
      <c r="AF236" s="54"/>
    </row>
    <row r="237" spans="1:32" s="43" customFormat="1" ht="11.4" customHeight="1">
      <c r="A237" s="51"/>
      <c r="B237" s="455" t="s">
        <v>4413</v>
      </c>
      <c r="C237" s="3462" t="s">
        <v>992</v>
      </c>
      <c r="D237" s="3463"/>
      <c r="E237" s="3463"/>
      <c r="F237" s="3463"/>
      <c r="G237" s="3464"/>
      <c r="H237" s="455" t="s">
        <v>4413</v>
      </c>
      <c r="I237" s="2958"/>
      <c r="J237" s="2924"/>
      <c r="K237" s="2924"/>
      <c r="L237" s="2924"/>
      <c r="M237" s="2924"/>
      <c r="N237" s="2924"/>
      <c r="O237" s="2925"/>
      <c r="P237" s="520"/>
      <c r="Q237" s="2628"/>
      <c r="AE237" s="54"/>
      <c r="AF237" s="54"/>
    </row>
    <row r="238" spans="1:32" ht="12" customHeight="1">
      <c r="A238" s="47" t="s">
        <v>731</v>
      </c>
      <c r="B238" s="52" t="s">
        <v>1354</v>
      </c>
      <c r="C238" s="52"/>
      <c r="E238" s="52"/>
      <c r="F238" s="52"/>
      <c r="G238" s="52"/>
      <c r="H238" s="52"/>
      <c r="I238" s="52"/>
      <c r="J238" s="52"/>
      <c r="K238" s="42"/>
      <c r="L238" s="52"/>
      <c r="M238" s="52"/>
      <c r="O238" s="455" t="s">
        <v>731</v>
      </c>
      <c r="P238" s="2256" t="s">
        <v>7038</v>
      </c>
      <c r="Q238" s="518"/>
    </row>
    <row r="239" spans="1:32" ht="11.4" customHeight="1">
      <c r="A239" s="47"/>
      <c r="B239" s="145" t="s">
        <v>1694</v>
      </c>
      <c r="C239" s="52" t="s">
        <v>3348</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4562</v>
      </c>
      <c r="E241" s="856"/>
      <c r="F241" s="856"/>
      <c r="G241" s="856"/>
      <c r="H241" s="856"/>
      <c r="I241" s="42"/>
      <c r="J241" s="33"/>
      <c r="K241" s="42"/>
      <c r="L241" s="33"/>
      <c r="M241" s="33"/>
      <c r="O241" s="65" t="s">
        <v>1696</v>
      </c>
      <c r="P241" s="2257" t="s">
        <v>2886</v>
      </c>
      <c r="Q241" s="519"/>
    </row>
    <row r="242" spans="1:31" ht="11.4" customHeight="1">
      <c r="A242" s="47"/>
      <c r="B242" s="145" t="s">
        <v>2305</v>
      </c>
      <c r="C242" s="856" t="s">
        <v>2715</v>
      </c>
      <c r="E242" s="856"/>
      <c r="F242" s="856"/>
      <c r="G242" s="856"/>
      <c r="H242" s="856"/>
      <c r="I242" s="42"/>
      <c r="J242" s="33"/>
      <c r="K242" s="42"/>
      <c r="L242" s="33"/>
      <c r="M242" s="33"/>
      <c r="O242" s="65" t="s">
        <v>2305</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4638</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t="s">
        <v>2889</v>
      </c>
      <c r="Q245" s="520"/>
    </row>
    <row r="246" spans="1:31" ht="11.25" customHeight="1">
      <c r="A246" s="47" t="s">
        <v>2065</v>
      </c>
      <c r="B246" s="52" t="s">
        <v>4561</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4262</v>
      </c>
      <c r="E248" s="42"/>
      <c r="F248" s="42"/>
      <c r="G248" s="856"/>
      <c r="H248" s="856"/>
      <c r="I248" s="42"/>
      <c r="J248" s="856"/>
      <c r="K248" s="42"/>
      <c r="L248" s="856"/>
      <c r="M248" s="856"/>
      <c r="O248" s="65" t="s">
        <v>1695</v>
      </c>
      <c r="P248" s="2258"/>
      <c r="Q248" s="520"/>
    </row>
    <row r="249" spans="1:31" ht="11.25" customHeight="1">
      <c r="B249" s="140" t="s">
        <v>3566</v>
      </c>
      <c r="D249" s="140"/>
      <c r="E249" s="140"/>
      <c r="F249" s="140"/>
      <c r="G249" s="140"/>
      <c r="H249" s="40"/>
      <c r="I249" s="2399"/>
      <c r="J249" s="2399"/>
      <c r="K249" s="2399"/>
      <c r="L249" s="2375"/>
      <c r="M249" s="2375"/>
      <c r="N249" s="2375"/>
      <c r="O249" s="2375"/>
      <c r="P249" s="2375"/>
      <c r="Q249" s="855"/>
    </row>
    <row r="250" spans="1:31" ht="36.75" customHeight="1">
      <c r="A250" s="3439" t="s">
        <v>7091</v>
      </c>
      <c r="B250" s="3440"/>
      <c r="C250" s="3440"/>
      <c r="D250" s="3440"/>
      <c r="E250" s="3440"/>
      <c r="F250" s="3440"/>
      <c r="G250" s="3440"/>
      <c r="H250" s="3440"/>
      <c r="I250" s="3440"/>
      <c r="J250" s="3440"/>
      <c r="K250" s="3440"/>
      <c r="L250" s="3440"/>
      <c r="M250" s="3440"/>
      <c r="N250" s="3440"/>
      <c r="O250" s="3440"/>
      <c r="P250" s="3440"/>
      <c r="Q250" s="344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81"/>
      <c r="E251" s="2381"/>
      <c r="F251" s="2381"/>
      <c r="G251" s="2381"/>
      <c r="H251" s="2381"/>
      <c r="I251" s="2381"/>
      <c r="J251" s="2381"/>
      <c r="K251" s="2381"/>
      <c r="L251" s="2381"/>
      <c r="M251" s="2381"/>
      <c r="N251" s="2381"/>
      <c r="O251" s="2381"/>
      <c r="P251" s="2381"/>
      <c r="Q251" s="2381"/>
    </row>
    <row r="252" spans="1:31" ht="11.25" customHeight="1">
      <c r="A252" s="3433"/>
      <c r="B252" s="3434"/>
      <c r="C252" s="3434"/>
      <c r="D252" s="3434"/>
      <c r="E252" s="3434"/>
      <c r="F252" s="3434"/>
      <c r="G252" s="3434"/>
      <c r="H252" s="3434"/>
      <c r="I252" s="3434"/>
      <c r="J252" s="3434"/>
      <c r="K252" s="3434"/>
      <c r="L252" s="3434"/>
      <c r="M252" s="3434"/>
      <c r="N252" s="3434"/>
      <c r="O252" s="3434"/>
      <c r="P252" s="3434"/>
      <c r="Q252" s="3435"/>
    </row>
    <row r="253" spans="1:31" ht="3" customHeight="1">
      <c r="A253" s="2375"/>
      <c r="B253" s="2399"/>
      <c r="C253" s="2381"/>
      <c r="D253" s="2381"/>
      <c r="E253" s="2381"/>
      <c r="F253" s="2381"/>
      <c r="G253" s="2381"/>
      <c r="H253" s="2381"/>
      <c r="I253" s="2381"/>
      <c r="J253" s="2381"/>
      <c r="K253" s="2381"/>
      <c r="L253" s="2381"/>
      <c r="M253" s="2381"/>
      <c r="Q253" s="2375"/>
    </row>
    <row r="254" spans="1:31" ht="14.1" customHeight="1">
      <c r="A254" s="2373" t="s">
        <v>2691</v>
      </c>
      <c r="B254" s="4" t="s">
        <v>4563</v>
      </c>
      <c r="C254" s="4"/>
      <c r="D254" s="86"/>
      <c r="E254" s="86"/>
      <c r="F254" s="86"/>
      <c r="G254" s="86"/>
      <c r="H254" s="2381"/>
      <c r="I254" s="2381"/>
      <c r="J254" s="2381"/>
      <c r="K254" s="2381"/>
      <c r="L254" s="1536"/>
      <c r="M254" s="1537"/>
      <c r="O254" s="131" t="s">
        <v>1821</v>
      </c>
      <c r="P254" s="3442"/>
      <c r="Q254" s="3429"/>
    </row>
    <row r="255" spans="1:31" ht="11.4" customHeight="1">
      <c r="A255" s="47" t="s">
        <v>1936</v>
      </c>
      <c r="B255" s="52" t="s">
        <v>1242</v>
      </c>
      <c r="D255" s="42"/>
      <c r="E255" s="52"/>
      <c r="F255" s="52"/>
      <c r="J255" s="455" t="s">
        <v>1936</v>
      </c>
      <c r="K255" s="3430" t="s">
        <v>1727</v>
      </c>
      <c r="L255" s="3431"/>
      <c r="M255" s="3431"/>
      <c r="N255" s="3431"/>
      <c r="O255" s="3432"/>
      <c r="P255" s="3607" t="s">
        <v>1727</v>
      </c>
      <c r="Q255" s="3608"/>
    </row>
    <row r="256" spans="1:31" ht="11.4" customHeight="1">
      <c r="A256" s="47" t="s">
        <v>1938</v>
      </c>
      <c r="B256" s="52" t="s">
        <v>2717</v>
      </c>
      <c r="D256" s="52"/>
      <c r="E256" s="52"/>
      <c r="F256" s="52"/>
      <c r="J256" s="455" t="s">
        <v>1938</v>
      </c>
      <c r="K256" s="3637"/>
      <c r="L256" s="3638"/>
      <c r="M256" s="3638"/>
      <c r="N256" s="3638"/>
      <c r="O256" s="3639"/>
      <c r="P256" s="3628"/>
      <c r="Q256" s="3629"/>
    </row>
    <row r="257" spans="1:32" s="147" customFormat="1" ht="11.4" customHeight="1">
      <c r="A257" s="47"/>
      <c r="B257" s="52" t="s">
        <v>1898</v>
      </c>
      <c r="D257" s="52"/>
      <c r="E257" s="52"/>
      <c r="F257" s="52"/>
      <c r="K257" s="3444"/>
      <c r="L257" s="3445"/>
      <c r="M257" s="3445"/>
      <c r="N257" s="3445"/>
      <c r="O257" s="3446"/>
      <c r="P257" s="3630"/>
      <c r="Q257" s="3631"/>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4354</v>
      </c>
      <c r="D259" s="52"/>
      <c r="E259" s="52"/>
      <c r="F259" s="52"/>
      <c r="J259" s="455" t="s">
        <v>731</v>
      </c>
      <c r="K259" s="3632"/>
      <c r="L259" s="3633"/>
      <c r="M259" s="3633"/>
      <c r="N259" s="3633"/>
      <c r="O259" s="3634"/>
      <c r="P259" s="3635"/>
      <c r="Q259" s="3636"/>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c r="M261" s="36"/>
      <c r="N261" s="979"/>
      <c r="O261" s="979"/>
      <c r="P261" s="2256"/>
      <c r="Q261" s="518"/>
      <c r="AE261" s="459"/>
      <c r="AF261" s="459"/>
    </row>
    <row r="262" spans="1:32" s="147" customFormat="1" ht="11.4" customHeight="1">
      <c r="A262" s="47"/>
      <c r="B262" s="52"/>
      <c r="C262" s="55" t="s">
        <v>4486</v>
      </c>
      <c r="D262" s="52"/>
      <c r="E262" s="52"/>
      <c r="F262" s="52"/>
      <c r="K262" s="455" t="s">
        <v>4266</v>
      </c>
      <c r="L262" s="2270"/>
      <c r="M262" s="36"/>
      <c r="N262" s="979"/>
      <c r="O262" s="979"/>
      <c r="P262" s="2258"/>
      <c r="Q262" s="520"/>
      <c r="AE262" s="459"/>
      <c r="AF262" s="459"/>
    </row>
    <row r="263" spans="1:32" s="147" customFormat="1" ht="11.4" customHeight="1">
      <c r="A263" s="47"/>
      <c r="B263" s="52" t="s">
        <v>4263</v>
      </c>
      <c r="D263" s="52"/>
      <c r="E263" s="52"/>
      <c r="F263" s="52"/>
      <c r="K263" s="3430"/>
      <c r="L263" s="3431"/>
      <c r="M263" s="3431"/>
      <c r="N263" s="3431"/>
      <c r="O263" s="3432"/>
      <c r="P263" s="3641"/>
      <c r="Q263" s="3642"/>
      <c r="AE263" s="459"/>
      <c r="AF263" s="459"/>
    </row>
    <row r="264" spans="1:32" s="147" customFormat="1" ht="11.4" customHeight="1">
      <c r="A264" s="47" t="s">
        <v>2065</v>
      </c>
      <c r="B264" s="52" t="s">
        <v>3675</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3443" t="s">
        <v>3572</v>
      </c>
      <c r="C265" s="3443"/>
      <c r="D265" s="3443"/>
      <c r="E265" s="3443"/>
      <c r="F265" s="3443"/>
      <c r="G265" s="3443"/>
      <c r="H265" s="427" t="s">
        <v>3797</v>
      </c>
      <c r="K265" s="94"/>
      <c r="M265" s="36"/>
      <c r="N265" s="979"/>
      <c r="O265" s="65" t="s">
        <v>1694</v>
      </c>
      <c r="P265" s="2257"/>
      <c r="Q265" s="519"/>
      <c r="AE265" s="459"/>
      <c r="AF265" s="459"/>
    </row>
    <row r="266" spans="1:32" s="147" customFormat="1" ht="11.4" customHeight="1">
      <c r="A266" s="47"/>
      <c r="B266" s="3443"/>
      <c r="C266" s="3443"/>
      <c r="D266" s="3443"/>
      <c r="E266" s="3443"/>
      <c r="F266" s="3443"/>
      <c r="G266" s="3443"/>
      <c r="H266" s="55" t="s">
        <v>3798</v>
      </c>
      <c r="K266" s="94"/>
      <c r="M266" s="36"/>
      <c r="N266" s="979"/>
      <c r="O266" s="65" t="s">
        <v>1695</v>
      </c>
      <c r="P266" s="2257"/>
      <c r="Q266" s="519"/>
      <c r="AE266" s="459"/>
      <c r="AF266" s="459"/>
    </row>
    <row r="267" spans="1:32" s="147" customFormat="1" ht="11.4" customHeight="1">
      <c r="A267" s="47"/>
      <c r="B267" s="52"/>
      <c r="D267" s="52"/>
      <c r="E267" s="52"/>
      <c r="F267" s="52"/>
      <c r="G267" s="52"/>
      <c r="H267" s="55" t="s">
        <v>3799</v>
      </c>
      <c r="K267" s="94"/>
      <c r="M267" s="36"/>
      <c r="N267" s="979"/>
      <c r="O267" s="65" t="s">
        <v>1696</v>
      </c>
      <c r="P267" s="2257"/>
      <c r="Q267" s="519"/>
      <c r="AE267" s="459"/>
      <c r="AF267" s="459"/>
    </row>
    <row r="268" spans="1:32" s="147" customFormat="1" ht="11.4" customHeight="1">
      <c r="A268" s="47"/>
      <c r="B268" s="52"/>
      <c r="D268" s="52"/>
      <c r="E268" s="52"/>
      <c r="F268" s="52"/>
      <c r="G268" s="52"/>
      <c r="H268" s="55" t="s">
        <v>3800</v>
      </c>
      <c r="K268" s="94"/>
      <c r="M268" s="36"/>
      <c r="N268" s="979"/>
      <c r="O268" s="455" t="s">
        <v>2305</v>
      </c>
      <c r="P268" s="2257"/>
      <c r="Q268" s="519"/>
      <c r="AE268" s="459"/>
      <c r="AF268" s="459"/>
    </row>
    <row r="269" spans="1:32" s="147" customFormat="1" ht="21.75" customHeight="1">
      <c r="B269" s="3443" t="s">
        <v>4709</v>
      </c>
      <c r="C269" s="3443"/>
      <c r="D269" s="3443"/>
      <c r="E269" s="3443"/>
      <c r="F269" s="3443"/>
      <c r="G269" s="3443"/>
      <c r="H269" s="3443"/>
      <c r="I269" s="3443"/>
      <c r="J269" s="3443"/>
      <c r="K269" s="3443"/>
      <c r="L269" s="3443"/>
      <c r="M269" s="3443"/>
      <c r="N269" s="3443"/>
      <c r="O269" s="160" t="s">
        <v>1516</v>
      </c>
      <c r="P269" s="2388"/>
      <c r="Q269" s="2251"/>
      <c r="T269" s="459"/>
      <c r="AE269" s="459"/>
      <c r="AF269" s="459"/>
    </row>
    <row r="270" spans="1:32" ht="11.25" customHeight="1">
      <c r="B270" s="140" t="s">
        <v>3566</v>
      </c>
      <c r="D270" s="140"/>
      <c r="E270" s="140"/>
      <c r="F270" s="140"/>
      <c r="G270" s="140"/>
      <c r="H270" s="40"/>
      <c r="I270" s="2399"/>
      <c r="J270" s="2399"/>
      <c r="K270" s="2399"/>
      <c r="L270" s="2375"/>
      <c r="M270" s="2375"/>
      <c r="N270" s="2375"/>
      <c r="O270" s="2375"/>
      <c r="P270" s="2375"/>
      <c r="Q270" s="855"/>
    </row>
    <row r="271" spans="1:32" ht="43.5" customHeight="1">
      <c r="A271" s="3439" t="s">
        <v>7129</v>
      </c>
      <c r="B271" s="3440"/>
      <c r="C271" s="3440"/>
      <c r="D271" s="3440"/>
      <c r="E271" s="3440"/>
      <c r="F271" s="3440"/>
      <c r="G271" s="3440"/>
      <c r="H271" s="3440"/>
      <c r="I271" s="3440"/>
      <c r="J271" s="3440"/>
      <c r="K271" s="3440"/>
      <c r="L271" s="3440"/>
      <c r="M271" s="3440"/>
      <c r="N271" s="3440"/>
      <c r="O271" s="3440"/>
      <c r="P271" s="3440"/>
      <c r="Q271" s="3441"/>
      <c r="R271" s="440" t="s">
        <v>1228</v>
      </c>
      <c r="S271" s="441"/>
      <c r="U271" s="135"/>
      <c r="V271" s="135"/>
      <c r="W271" s="135"/>
      <c r="X271" s="135"/>
      <c r="Y271" s="135"/>
      <c r="Z271" s="135"/>
      <c r="AA271" s="135"/>
      <c r="AB271" s="135"/>
      <c r="AC271" s="135"/>
      <c r="AD271" s="135"/>
      <c r="AE271" s="457"/>
    </row>
    <row r="272" spans="1:32" ht="11.1" customHeight="1">
      <c r="B272" s="136" t="s">
        <v>1820</v>
      </c>
      <c r="C272" s="137"/>
      <c r="D272" s="2381"/>
      <c r="E272" s="2381"/>
      <c r="F272" s="2381"/>
      <c r="G272" s="2381"/>
      <c r="H272" s="2381"/>
      <c r="I272" s="2381"/>
      <c r="J272" s="2381"/>
      <c r="K272" s="2381"/>
      <c r="L272" s="2381"/>
      <c r="M272" s="2381"/>
      <c r="N272" s="2381"/>
      <c r="O272" s="2381"/>
      <c r="P272" s="2381"/>
      <c r="Q272" s="2381"/>
    </row>
    <row r="273" spans="1:32" ht="13.35" customHeight="1">
      <c r="A273" s="3433"/>
      <c r="B273" s="3434"/>
      <c r="C273" s="3434"/>
      <c r="D273" s="3434"/>
      <c r="E273" s="3434"/>
      <c r="F273" s="3434"/>
      <c r="G273" s="3434"/>
      <c r="H273" s="3434"/>
      <c r="I273" s="3434"/>
      <c r="J273" s="3434"/>
      <c r="K273" s="3434"/>
      <c r="L273" s="3434"/>
      <c r="M273" s="3434"/>
      <c r="N273" s="3434"/>
      <c r="O273" s="3434"/>
      <c r="P273" s="3434"/>
      <c r="Q273" s="3435"/>
    </row>
    <row r="274" spans="1:32" ht="3" customHeight="1">
      <c r="A274" s="2375"/>
      <c r="B274" s="2399"/>
      <c r="C274" s="2381"/>
      <c r="D274" s="2381"/>
      <c r="E274" s="2381"/>
      <c r="F274" s="2381"/>
      <c r="G274" s="2381"/>
      <c r="H274" s="2381"/>
      <c r="I274" s="2381"/>
      <c r="J274" s="2381"/>
      <c r="K274" s="2381"/>
      <c r="L274" s="2381"/>
      <c r="M274" s="2381"/>
      <c r="Q274" s="2375"/>
    </row>
    <row r="275" spans="1:32" ht="14.1" customHeight="1">
      <c r="A275" s="2373" t="s">
        <v>2194</v>
      </c>
      <c r="B275" s="4" t="s">
        <v>2589</v>
      </c>
      <c r="C275" s="4"/>
      <c r="D275" s="86"/>
      <c r="E275" s="86"/>
      <c r="F275" s="86"/>
      <c r="G275" s="86"/>
      <c r="H275" s="2381"/>
      <c r="I275" s="2381"/>
      <c r="J275" s="2381"/>
      <c r="K275" s="2381"/>
      <c r="L275" s="2381"/>
      <c r="M275" s="2381"/>
      <c r="O275" s="131" t="s">
        <v>1821</v>
      </c>
      <c r="P275" s="3442"/>
      <c r="Q275" s="3429"/>
    </row>
    <row r="276" spans="1:32" s="411" customFormat="1" ht="21.75" customHeight="1">
      <c r="A276" s="141" t="s">
        <v>1936</v>
      </c>
      <c r="B276" s="2381" t="s">
        <v>1694</v>
      </c>
      <c r="C276" s="3443" t="s">
        <v>4710</v>
      </c>
      <c r="D276" s="3443"/>
      <c r="E276" s="3443"/>
      <c r="F276" s="3443"/>
      <c r="G276" s="3443"/>
      <c r="H276" s="3443"/>
      <c r="I276" s="3443"/>
      <c r="J276" s="3443"/>
      <c r="K276" s="3443"/>
      <c r="L276" s="3443"/>
      <c r="M276" s="3443"/>
      <c r="N276" s="3443"/>
      <c r="O276" s="1725" t="s">
        <v>1455</v>
      </c>
      <c r="P276" s="2268" t="s">
        <v>2886</v>
      </c>
      <c r="Q276" s="1088"/>
      <c r="AE276" s="460"/>
      <c r="AF276" s="460"/>
    </row>
    <row r="277" spans="1:32" s="147" customFormat="1" ht="11.4" customHeight="1">
      <c r="A277" s="47"/>
      <c r="B277" s="2381" t="s">
        <v>1695</v>
      </c>
      <c r="C277" s="52" t="s">
        <v>3569</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1938</v>
      </c>
      <c r="B278" s="52" t="s">
        <v>3570</v>
      </c>
      <c r="D278" s="52"/>
      <c r="E278" s="52"/>
      <c r="F278" s="52"/>
      <c r="G278" s="52"/>
      <c r="H278" s="52"/>
      <c r="I278" s="52"/>
      <c r="J278" s="52"/>
      <c r="K278" s="52"/>
      <c r="L278" s="52"/>
      <c r="M278" s="52"/>
      <c r="O278" s="455" t="s">
        <v>1938</v>
      </c>
      <c r="P278" s="2258" t="s">
        <v>2886</v>
      </c>
      <c r="Q278" s="520"/>
      <c r="AE278" s="459"/>
      <c r="AF278" s="459"/>
    </row>
    <row r="279" spans="1:32" s="411" customFormat="1" ht="19.95" customHeight="1">
      <c r="A279" s="141" t="s">
        <v>731</v>
      </c>
      <c r="B279" s="2381" t="s">
        <v>1694</v>
      </c>
      <c r="C279" s="3443" t="s">
        <v>4746</v>
      </c>
      <c r="D279" s="3443"/>
      <c r="E279" s="3443"/>
      <c r="F279" s="3443"/>
      <c r="G279" s="3443"/>
      <c r="H279" s="3443"/>
      <c r="I279" s="3443"/>
      <c r="J279" s="3443"/>
      <c r="K279" s="3443"/>
      <c r="L279" s="3443"/>
      <c r="M279" s="3443"/>
      <c r="N279" s="3443"/>
      <c r="O279" s="1725" t="s">
        <v>4747</v>
      </c>
      <c r="P279" s="2268" t="s">
        <v>2886</v>
      </c>
      <c r="Q279" s="1088"/>
      <c r="AE279" s="460"/>
      <c r="AF279" s="460"/>
    </row>
    <row r="280" spans="1:32" s="147" customFormat="1" ht="11.4" customHeight="1">
      <c r="A280" s="47"/>
      <c r="B280" s="2381" t="s">
        <v>1695</v>
      </c>
      <c r="C280" s="52" t="s">
        <v>3571</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2065</v>
      </c>
      <c r="B281" s="3443" t="s">
        <v>4748</v>
      </c>
      <c r="C281" s="3443"/>
      <c r="D281" s="3443"/>
      <c r="E281" s="3443"/>
      <c r="F281" s="3443"/>
      <c r="G281" s="3443"/>
      <c r="H281" s="3443"/>
      <c r="I281" s="3443"/>
      <c r="J281" s="3443"/>
      <c r="K281" s="3443"/>
      <c r="L281" s="3443"/>
      <c r="M281" s="3443"/>
      <c r="N281" s="3443"/>
      <c r="O281" s="455" t="s">
        <v>2065</v>
      </c>
      <c r="P281" s="2388" t="s">
        <v>2886</v>
      </c>
      <c r="Q281" s="2251"/>
      <c r="AE281" s="459"/>
      <c r="AF281" s="459"/>
    </row>
    <row r="282" spans="1:32" ht="11.25" customHeight="1">
      <c r="B282" s="140" t="s">
        <v>3566</v>
      </c>
      <c r="D282" s="140"/>
      <c r="E282" s="140"/>
      <c r="F282" s="140"/>
      <c r="G282" s="140"/>
      <c r="H282" s="40"/>
      <c r="I282" s="2399"/>
      <c r="J282" s="2399"/>
      <c r="K282" s="2399"/>
      <c r="L282" s="2375"/>
      <c r="M282" s="2375"/>
      <c r="N282" s="2375"/>
      <c r="O282" s="2375"/>
      <c r="P282" s="2375"/>
      <c r="Q282" s="855"/>
    </row>
    <row r="283" spans="1:32" ht="33.75" customHeight="1">
      <c r="A283" s="3439" t="s">
        <v>7053</v>
      </c>
      <c r="B283" s="3440"/>
      <c r="C283" s="3440"/>
      <c r="D283" s="3440"/>
      <c r="E283" s="3440"/>
      <c r="F283" s="3440"/>
      <c r="G283" s="3440"/>
      <c r="H283" s="3440"/>
      <c r="I283" s="3440"/>
      <c r="J283" s="3440"/>
      <c r="K283" s="3440"/>
      <c r="L283" s="3440"/>
      <c r="M283" s="3440"/>
      <c r="N283" s="3440"/>
      <c r="O283" s="3440"/>
      <c r="P283" s="3440"/>
      <c r="Q283" s="344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81"/>
      <c r="E284" s="2381"/>
      <c r="F284" s="2381"/>
      <c r="G284" s="2381"/>
      <c r="H284" s="2381"/>
      <c r="I284" s="2381"/>
      <c r="J284" s="2381"/>
      <c r="K284" s="2381"/>
      <c r="L284" s="2381"/>
      <c r="M284" s="2381"/>
      <c r="N284" s="2381"/>
      <c r="O284" s="2381"/>
      <c r="P284" s="2381"/>
      <c r="Q284" s="2381"/>
    </row>
    <row r="285" spans="1:32" ht="13.35" customHeight="1">
      <c r="A285" s="3433"/>
      <c r="B285" s="3434"/>
      <c r="C285" s="3434"/>
      <c r="D285" s="3434"/>
      <c r="E285" s="3434"/>
      <c r="F285" s="3434"/>
      <c r="G285" s="3434"/>
      <c r="H285" s="3434"/>
      <c r="I285" s="3434"/>
      <c r="J285" s="3434"/>
      <c r="K285" s="3434"/>
      <c r="L285" s="3434"/>
      <c r="M285" s="3434"/>
      <c r="N285" s="3434"/>
      <c r="O285" s="3434"/>
      <c r="P285" s="3434"/>
      <c r="Q285" s="3435"/>
    </row>
    <row r="286" spans="1:32" ht="3" customHeight="1"/>
    <row r="287" spans="1:32" ht="14.1" customHeight="1">
      <c r="A287" s="2373" t="s">
        <v>3785</v>
      </c>
      <c r="B287" s="2373" t="s">
        <v>2590</v>
      </c>
      <c r="C287" s="2373"/>
      <c r="D287" s="2381"/>
      <c r="E287" s="2381"/>
      <c r="F287" s="2381"/>
      <c r="G287" s="2381"/>
      <c r="H287" s="2381"/>
      <c r="I287" s="2381"/>
      <c r="J287" s="2381"/>
      <c r="K287" s="2381"/>
      <c r="L287" s="2381"/>
      <c r="M287" s="2381"/>
      <c r="O287" s="131" t="s">
        <v>1821</v>
      </c>
      <c r="P287" s="3442"/>
      <c r="Q287" s="3429"/>
    </row>
    <row r="288" spans="1:32" s="411" customFormat="1" ht="30" customHeight="1">
      <c r="A288" s="141" t="s">
        <v>1936</v>
      </c>
      <c r="B288" s="857" t="s">
        <v>1694</v>
      </c>
      <c r="C288" s="3443" t="s">
        <v>4393</v>
      </c>
      <c r="D288" s="3443"/>
      <c r="E288" s="3443"/>
      <c r="F288" s="3443"/>
      <c r="G288" s="3443"/>
      <c r="H288" s="3443"/>
      <c r="I288" s="3443"/>
      <c r="J288" s="3443"/>
      <c r="K288" s="3443"/>
      <c r="L288" s="3443"/>
      <c r="M288" s="3443"/>
      <c r="N288" s="3443"/>
      <c r="O288" s="160" t="s">
        <v>1936</v>
      </c>
      <c r="P288" s="2268" t="s">
        <v>7038</v>
      </c>
      <c r="Q288" s="1088"/>
      <c r="AE288" s="460"/>
      <c r="AF288" s="460"/>
    </row>
    <row r="289" spans="1:32" s="411" customFormat="1" ht="21.75" customHeight="1">
      <c r="A289" s="141"/>
      <c r="B289" s="857" t="s">
        <v>1695</v>
      </c>
      <c r="C289" s="3443" t="s">
        <v>2718</v>
      </c>
      <c r="D289" s="3443"/>
      <c r="E289" s="3443"/>
      <c r="F289" s="3443"/>
      <c r="G289" s="3443"/>
      <c r="H289" s="3443"/>
      <c r="I289" s="3443"/>
      <c r="J289" s="3443"/>
      <c r="K289" s="3443"/>
      <c r="L289" s="3443"/>
      <c r="M289" s="3443"/>
      <c r="N289" s="3443"/>
      <c r="O289" s="160"/>
      <c r="P289" s="2388" t="s">
        <v>7038</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1938</v>
      </c>
      <c r="P291" s="2271" t="s">
        <v>7038</v>
      </c>
      <c r="Q291" s="1089"/>
      <c r="R291" s="455"/>
    </row>
    <row r="292" spans="1:32" s="102" customFormat="1" ht="11.4" customHeight="1">
      <c r="A292" s="42"/>
      <c r="B292" s="140" t="s">
        <v>3566</v>
      </c>
      <c r="C292" s="42"/>
      <c r="D292" s="48"/>
      <c r="E292" s="48"/>
      <c r="F292" s="48"/>
      <c r="G292" s="48"/>
      <c r="K292" s="36"/>
      <c r="M292" s="46"/>
      <c r="N292" s="6"/>
      <c r="O292" s="3"/>
      <c r="P292" s="2374"/>
    </row>
    <row r="293" spans="1:32" s="43" customFormat="1" ht="27.75" customHeight="1">
      <c r="A293" s="3439" t="s">
        <v>7054</v>
      </c>
      <c r="B293" s="3440"/>
      <c r="C293" s="3440"/>
      <c r="D293" s="3440"/>
      <c r="E293" s="3440"/>
      <c r="F293" s="3440"/>
      <c r="G293" s="3440"/>
      <c r="H293" s="3440"/>
      <c r="I293" s="3440"/>
      <c r="J293" s="3440"/>
      <c r="K293" s="3440"/>
      <c r="L293" s="3440"/>
      <c r="M293" s="3440"/>
      <c r="N293" s="3440"/>
      <c r="O293" s="3440"/>
      <c r="P293" s="3440"/>
      <c r="Q293" s="3441"/>
      <c r="R293" s="440" t="s">
        <v>1228</v>
      </c>
    </row>
    <row r="294" spans="1:32" s="43" customFormat="1" ht="11.25" customHeight="1">
      <c r="A294" s="35"/>
      <c r="B294" s="136" t="s">
        <v>1820</v>
      </c>
      <c r="C294" s="137"/>
      <c r="D294" s="2381"/>
      <c r="E294" s="2381"/>
      <c r="F294" s="2381"/>
      <c r="G294" s="2381"/>
      <c r="H294" s="2381"/>
      <c r="I294" s="2381"/>
      <c r="J294" s="2381"/>
      <c r="K294" s="2381"/>
      <c r="L294" s="2381"/>
      <c r="M294" s="2381"/>
      <c r="N294" s="2381"/>
      <c r="O294" s="2381"/>
      <c r="P294" s="2381"/>
      <c r="Q294" s="2381"/>
      <c r="R294" s="35"/>
    </row>
    <row r="295" spans="1:32" s="43" customFormat="1" ht="11.25" customHeight="1">
      <c r="A295" s="3433"/>
      <c r="B295" s="3434"/>
      <c r="C295" s="3434"/>
      <c r="D295" s="3434"/>
      <c r="E295" s="3434"/>
      <c r="F295" s="3434"/>
      <c r="G295" s="3434"/>
      <c r="H295" s="3434"/>
      <c r="I295" s="3434"/>
      <c r="J295" s="3434"/>
      <c r="K295" s="3434"/>
      <c r="L295" s="3434"/>
      <c r="M295" s="3434"/>
      <c r="N295" s="3434"/>
      <c r="O295" s="3434"/>
      <c r="P295" s="3434"/>
      <c r="Q295" s="3435"/>
      <c r="R295" s="35"/>
    </row>
    <row r="296" spans="1:32" s="43" customFormat="1" ht="3" customHeight="1">
      <c r="A296" s="42"/>
      <c r="D296" s="39"/>
      <c r="E296" s="36"/>
      <c r="F296" s="846"/>
      <c r="G296" s="846"/>
      <c r="H296" s="846"/>
      <c r="I296" s="846"/>
      <c r="J296" s="856"/>
      <c r="K296" s="856"/>
      <c r="L296" s="856"/>
      <c r="M296" s="60"/>
      <c r="N296" s="846"/>
      <c r="O296" s="2378"/>
      <c r="P296" s="3"/>
    </row>
    <row r="297" spans="1:32" ht="14.1" customHeight="1">
      <c r="A297" s="2373" t="s">
        <v>3786</v>
      </c>
      <c r="B297" s="2373" t="s">
        <v>2591</v>
      </c>
      <c r="C297" s="2377"/>
      <c r="D297" s="2390"/>
      <c r="E297" s="2381"/>
      <c r="F297" s="2381"/>
      <c r="G297" s="2381"/>
      <c r="H297" s="2381"/>
      <c r="I297" s="2381"/>
      <c r="J297" s="2381"/>
      <c r="K297" s="2381"/>
      <c r="L297" s="2381"/>
      <c r="M297" s="2381"/>
      <c r="O297" s="131" t="s">
        <v>1821</v>
      </c>
      <c r="P297" s="3442"/>
      <c r="Q297" s="3429"/>
    </row>
    <row r="298" spans="1:32" ht="12.75" customHeight="1">
      <c r="A298" s="138" t="s">
        <v>1936</v>
      </c>
      <c r="B298" s="179" t="s">
        <v>3801</v>
      </c>
    </row>
    <row r="299" spans="1:32" s="147" customFormat="1" ht="44.25" customHeight="1">
      <c r="A299" s="141"/>
      <c r="B299" s="1488" t="s">
        <v>1694</v>
      </c>
      <c r="C299" s="3443" t="s">
        <v>3677</v>
      </c>
      <c r="D299" s="3443"/>
      <c r="E299" s="3443"/>
      <c r="F299" s="3443"/>
      <c r="G299" s="3443"/>
      <c r="H299" s="3443"/>
      <c r="I299" s="3443"/>
      <c r="J299" s="3443"/>
      <c r="K299" s="3443"/>
      <c r="L299" s="3443"/>
      <c r="M299" s="3443"/>
      <c r="N299" s="3443"/>
      <c r="O299" s="160" t="s">
        <v>2643</v>
      </c>
      <c r="P299" s="2268" t="s">
        <v>2886</v>
      </c>
      <c r="Q299" s="1088"/>
      <c r="AE299" s="459"/>
      <c r="AF299" s="459"/>
    </row>
    <row r="300" spans="1:32" s="411" customFormat="1" ht="12" customHeight="1">
      <c r="A300" s="141"/>
      <c r="B300" s="1488" t="s">
        <v>1695</v>
      </c>
      <c r="C300" s="3443" t="s">
        <v>4745</v>
      </c>
      <c r="D300" s="3443"/>
      <c r="E300" s="3443"/>
      <c r="F300" s="3443"/>
      <c r="G300" s="3443"/>
      <c r="H300" s="3443"/>
      <c r="I300" s="3443"/>
      <c r="J300" s="3443"/>
      <c r="K300" s="3443"/>
      <c r="L300" s="3443"/>
      <c r="M300" s="3443"/>
      <c r="N300" s="3443"/>
      <c r="O300" s="148" t="s">
        <v>1695</v>
      </c>
      <c r="P300" s="2387" t="s">
        <v>2886</v>
      </c>
      <c r="Q300" s="2395"/>
      <c r="AE300" s="460"/>
      <c r="AF300" s="460"/>
    </row>
    <row r="301" spans="1:32" s="411" customFormat="1" ht="21.75" customHeight="1">
      <c r="A301" s="141"/>
      <c r="B301" s="468" t="s">
        <v>1696</v>
      </c>
      <c r="C301" s="3443" t="s">
        <v>3676</v>
      </c>
      <c r="D301" s="3443"/>
      <c r="E301" s="3443"/>
      <c r="F301" s="3443"/>
      <c r="G301" s="3443"/>
      <c r="H301" s="3443"/>
      <c r="I301" s="3443"/>
      <c r="J301" s="3443"/>
      <c r="K301" s="3443"/>
      <c r="L301" s="3443"/>
      <c r="M301" s="3443"/>
      <c r="N301" s="3443"/>
      <c r="O301" s="160" t="s">
        <v>1696</v>
      </c>
      <c r="P301" s="2388" t="s">
        <v>2886</v>
      </c>
      <c r="Q301" s="2251"/>
      <c r="AE301" s="460"/>
      <c r="AF301" s="460"/>
    </row>
    <row r="302" spans="1:32" s="94" customFormat="1" ht="12.75" customHeight="1">
      <c r="A302" s="138" t="s">
        <v>1938</v>
      </c>
      <c r="B302" s="179" t="s">
        <v>3653</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43" t="s">
        <v>3563</v>
      </c>
      <c r="D303" s="3443"/>
      <c r="E303" s="3443"/>
      <c r="F303" s="3443"/>
      <c r="G303" s="3443"/>
      <c r="H303" s="3443"/>
      <c r="I303" s="139"/>
      <c r="J303" s="3465" t="s">
        <v>3602</v>
      </c>
      <c r="K303" s="3640"/>
      <c r="L303" s="3640"/>
      <c r="M303" s="3621" t="s">
        <v>3574</v>
      </c>
      <c r="N303" s="3621"/>
      <c r="AE303" s="461"/>
      <c r="AF303" s="461"/>
    </row>
    <row r="304" spans="1:32" s="293" customFormat="1" ht="10.5" customHeight="1">
      <c r="A304" s="304"/>
      <c r="B304" s="2349"/>
      <c r="C304" s="3443"/>
      <c r="D304" s="3443"/>
      <c r="E304" s="3443"/>
      <c r="F304" s="3443"/>
      <c r="G304" s="3443"/>
      <c r="H304" s="3443"/>
      <c r="I304" s="2358"/>
      <c r="J304" s="3640"/>
      <c r="K304" s="3640"/>
      <c r="L304" s="3640"/>
      <c r="M304" s="36" t="s">
        <v>3575</v>
      </c>
      <c r="N304" s="2399" t="s">
        <v>3601</v>
      </c>
      <c r="P304" s="302"/>
    </row>
    <row r="305" spans="1:33" s="293" customFormat="1" ht="13.35" customHeight="1">
      <c r="A305" s="304"/>
      <c r="B305" s="2349"/>
      <c r="C305" s="3443"/>
      <c r="D305" s="3443"/>
      <c r="E305" s="3443"/>
      <c r="F305" s="3443"/>
      <c r="G305" s="3443"/>
      <c r="H305" s="3443"/>
      <c r="I305" s="52" t="s">
        <v>3802</v>
      </c>
      <c r="K305" s="2272">
        <v>3</v>
      </c>
      <c r="L305" s="974" t="str">
        <f>IF(K305&lt;M305,"Check!!!","")</f>
        <v/>
      </c>
      <c r="M305" s="975">
        <f>ROUNDUP('Part VI-Revenues &amp; Expenses'!$P$67*'Part VIII-Threshold Criteria'!N305,0)</f>
        <v>3</v>
      </c>
      <c r="N305" s="1465">
        <f>'DCA Underwriting Assumptions'!$Q$154</f>
        <v>0.05</v>
      </c>
      <c r="O305" s="455" t="s">
        <v>3471</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43" t="s">
        <v>3564</v>
      </c>
      <c r="D306" s="3443"/>
      <c r="E306" s="3443"/>
      <c r="F306" s="3443"/>
      <c r="G306" s="3443"/>
      <c r="H306" s="3443"/>
      <c r="I306" s="843" t="s">
        <v>3803</v>
      </c>
      <c r="J306" s="293"/>
      <c r="K306" s="2272">
        <v>2</v>
      </c>
      <c r="L306" s="974" t="str">
        <f>IF(K306&lt;M306,"Check!!!","")</f>
        <v/>
      </c>
      <c r="M306" s="975">
        <f>ROUNDUP(K305*'Part VIII-Threshold Criteria'!N306,0)</f>
        <v>2</v>
      </c>
      <c r="N306" s="1465">
        <f>'DCA Underwriting Assumptions'!$Q$155</f>
        <v>0.4</v>
      </c>
      <c r="O306" s="455" t="s">
        <v>2067</v>
      </c>
      <c r="P306" s="3481" t="s">
        <v>2886</v>
      </c>
      <c r="Q306" s="3477"/>
      <c r="T306" s="139"/>
      <c r="U306" s="139"/>
      <c r="V306" s="139"/>
      <c r="W306" s="139"/>
      <c r="X306" s="139"/>
      <c r="Y306" s="139"/>
      <c r="Z306" s="139"/>
      <c r="AA306" s="139"/>
      <c r="AB306" s="139"/>
      <c r="AC306" s="139"/>
      <c r="AD306" s="139"/>
      <c r="AE306" s="139"/>
      <c r="AF306" s="139"/>
      <c r="AG306" s="139"/>
    </row>
    <row r="307" spans="1:33" s="293" customFormat="1" ht="10.5" customHeight="1">
      <c r="A307" s="304"/>
      <c r="B307" s="2349"/>
      <c r="C307" s="3443"/>
      <c r="D307" s="3443"/>
      <c r="E307" s="3443"/>
      <c r="F307" s="3443"/>
      <c r="G307" s="3443"/>
      <c r="H307" s="3443"/>
      <c r="O307" s="40"/>
      <c r="P307" s="3481"/>
      <c r="Q307" s="3477"/>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43" t="s">
        <v>3565</v>
      </c>
      <c r="D308" s="3443"/>
      <c r="E308" s="3443"/>
      <c r="F308" s="3443"/>
      <c r="G308" s="3443"/>
      <c r="H308" s="3443"/>
      <c r="I308" s="52" t="s">
        <v>3804</v>
      </c>
      <c r="J308" s="293"/>
      <c r="K308" s="2272">
        <v>2</v>
      </c>
      <c r="L308" s="974" t="str">
        <f>IF(K308&lt;M308,"Check!!!","")</f>
        <v/>
      </c>
      <c r="M308" s="975">
        <f>ROUNDUP('Part VI-Revenues &amp; Expenses'!$P$67*'Part VIII-Threshold Criteria'!N308,0)</f>
        <v>2</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43"/>
      <c r="D309" s="3443"/>
      <c r="E309" s="3443"/>
      <c r="F309" s="3443"/>
      <c r="G309" s="3443"/>
      <c r="H309" s="3443"/>
      <c r="J309" s="36"/>
      <c r="K309" s="36"/>
      <c r="L309" s="856"/>
      <c r="M309" s="2385"/>
      <c r="O309" s="36"/>
      <c r="P309" s="2399"/>
      <c r="Q309" s="36"/>
      <c r="T309" s="36"/>
      <c r="U309" s="843"/>
      <c r="V309" s="36"/>
      <c r="W309" s="843"/>
      <c r="X309" s="36"/>
      <c r="Y309" s="36"/>
      <c r="Z309" s="36"/>
      <c r="AA309" s="36"/>
      <c r="AB309" s="36"/>
      <c r="AC309" s="36"/>
      <c r="AD309" s="36"/>
      <c r="AE309" s="36"/>
      <c r="AF309" s="36"/>
      <c r="AG309" s="36"/>
    </row>
    <row r="310" spans="1:33" s="293" customFormat="1" ht="10.5" customHeight="1">
      <c r="A310" s="304"/>
      <c r="C310" s="3443"/>
      <c r="D310" s="3443"/>
      <c r="E310" s="3443"/>
      <c r="F310" s="3443"/>
      <c r="G310" s="3443"/>
      <c r="H310" s="344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3654</v>
      </c>
      <c r="D311" s="2381"/>
      <c r="E311" s="2381"/>
      <c r="F311" s="2381"/>
      <c r="G311" s="2381"/>
      <c r="H311" s="2381"/>
      <c r="O311" s="40"/>
      <c r="P311" s="455"/>
      <c r="V311" s="36"/>
      <c r="W311" s="843"/>
      <c r="X311" s="36"/>
      <c r="Z311" s="974"/>
      <c r="AA311" s="974"/>
      <c r="AB311" s="974"/>
      <c r="AC311" s="974"/>
      <c r="AD311" s="974"/>
      <c r="AE311" s="974"/>
      <c r="AF311" s="974"/>
      <c r="AG311" s="974"/>
    </row>
    <row r="312" spans="1:33" s="94" customFormat="1" ht="21.75" customHeight="1">
      <c r="B312" s="3451" t="s">
        <v>3473</v>
      </c>
      <c r="C312" s="3451"/>
      <c r="D312" s="3451"/>
      <c r="E312" s="3451"/>
      <c r="F312" s="3451"/>
      <c r="G312" s="3451"/>
      <c r="H312" s="3451"/>
      <c r="I312" s="3451"/>
      <c r="J312" s="3451"/>
      <c r="K312" s="3451"/>
      <c r="L312" s="3451"/>
      <c r="M312" s="3451"/>
      <c r="N312" s="3451"/>
      <c r="O312" s="160" t="s">
        <v>731</v>
      </c>
      <c r="P312" s="2271" t="s">
        <v>2886</v>
      </c>
      <c r="Q312" s="1089"/>
      <c r="AE312" s="461"/>
      <c r="AF312" s="461"/>
    </row>
    <row r="313" spans="1:33" s="94" customFormat="1" ht="11.25" customHeight="1">
      <c r="B313" s="389" t="s">
        <v>3474</v>
      </c>
      <c r="D313" s="389"/>
      <c r="E313" s="389"/>
      <c r="F313" s="389"/>
      <c r="G313" s="389"/>
      <c r="H313" s="389"/>
      <c r="I313" s="389" t="s">
        <v>3573</v>
      </c>
      <c r="J313" s="389"/>
      <c r="K313" s="389"/>
      <c r="L313" s="3623" t="s">
        <v>7164</v>
      </c>
      <c r="M313" s="3624"/>
      <c r="N313" s="3624"/>
      <c r="O313" s="3625"/>
      <c r="P313" s="389"/>
      <c r="Q313" s="389"/>
      <c r="R313" s="389"/>
      <c r="AE313" s="461"/>
      <c r="AF313" s="461"/>
    </row>
    <row r="314" spans="1:33" s="411" customFormat="1" ht="44.25" customHeight="1">
      <c r="B314" s="1488" t="s">
        <v>1694</v>
      </c>
      <c r="C314" s="3443" t="s">
        <v>3472</v>
      </c>
      <c r="D314" s="3443"/>
      <c r="E314" s="3443"/>
      <c r="F314" s="3443"/>
      <c r="G314" s="3443"/>
      <c r="H314" s="3443"/>
      <c r="I314" s="3443"/>
      <c r="J314" s="3443"/>
      <c r="K314" s="3443"/>
      <c r="L314" s="3443"/>
      <c r="M314" s="3443"/>
      <c r="N314" s="3443"/>
      <c r="O314" s="160" t="s">
        <v>3477</v>
      </c>
      <c r="P314" s="2268" t="s">
        <v>2886</v>
      </c>
      <c r="Q314" s="1088"/>
      <c r="AE314" s="460"/>
      <c r="AF314" s="460"/>
    </row>
    <row r="315" spans="1:33" s="411" customFormat="1" ht="34.5" customHeight="1">
      <c r="B315" s="1488" t="s">
        <v>1695</v>
      </c>
      <c r="C315" s="3443" t="s">
        <v>4355</v>
      </c>
      <c r="D315" s="3443"/>
      <c r="E315" s="3443"/>
      <c r="F315" s="3443"/>
      <c r="G315" s="3443"/>
      <c r="H315" s="3443"/>
      <c r="I315" s="3443"/>
      <c r="J315" s="3443"/>
      <c r="K315" s="3443"/>
      <c r="L315" s="3443"/>
      <c r="M315" s="3443"/>
      <c r="N315" s="3443"/>
      <c r="O315" s="160" t="s">
        <v>3478</v>
      </c>
      <c r="P315" s="2387" t="s">
        <v>2886</v>
      </c>
      <c r="Q315" s="2395"/>
      <c r="AE315" s="460"/>
      <c r="AF315" s="460"/>
    </row>
    <row r="316" spans="1:33" s="411" customFormat="1" ht="22.5" customHeight="1">
      <c r="B316" s="468" t="s">
        <v>1696</v>
      </c>
      <c r="C316" s="3443" t="s">
        <v>3475</v>
      </c>
      <c r="D316" s="3443"/>
      <c r="E316" s="3443"/>
      <c r="F316" s="3443"/>
      <c r="G316" s="3443"/>
      <c r="H316" s="3443"/>
      <c r="I316" s="3443"/>
      <c r="J316" s="3443"/>
      <c r="K316" s="3443"/>
      <c r="L316" s="3443"/>
      <c r="M316" s="3443"/>
      <c r="N316" s="3443"/>
      <c r="O316" s="160" t="s">
        <v>3479</v>
      </c>
      <c r="P316" s="2387" t="s">
        <v>2886</v>
      </c>
      <c r="Q316" s="2395"/>
      <c r="AE316" s="460"/>
      <c r="AF316" s="460"/>
    </row>
    <row r="317" spans="1:33" s="411" customFormat="1" ht="32.25" customHeight="1">
      <c r="B317" s="468" t="s">
        <v>2305</v>
      </c>
      <c r="C317" s="3443" t="s">
        <v>3476</v>
      </c>
      <c r="D317" s="3443"/>
      <c r="E317" s="3443"/>
      <c r="F317" s="3443"/>
      <c r="G317" s="3443"/>
      <c r="H317" s="3443"/>
      <c r="I317" s="3443"/>
      <c r="J317" s="3443"/>
      <c r="K317" s="3443"/>
      <c r="L317" s="3443"/>
      <c r="M317" s="3443"/>
      <c r="N317" s="3443"/>
      <c r="O317" s="160" t="s">
        <v>3480</v>
      </c>
      <c r="P317" s="2388" t="s">
        <v>2886</v>
      </c>
      <c r="Q317" s="2251"/>
      <c r="AE317" s="460"/>
      <c r="AF317" s="460"/>
    </row>
    <row r="318" spans="1:33" ht="11.25" customHeight="1">
      <c r="B318" s="140" t="s">
        <v>3566</v>
      </c>
      <c r="D318" s="140"/>
      <c r="E318" s="140"/>
      <c r="F318" s="140"/>
      <c r="G318" s="140"/>
      <c r="H318" s="40"/>
      <c r="I318" s="2399"/>
      <c r="J318" s="2399"/>
      <c r="K318" s="2399"/>
      <c r="L318" s="2375"/>
      <c r="M318" s="2375"/>
      <c r="N318" s="2375"/>
      <c r="O318" s="2375"/>
      <c r="P318" s="2375"/>
      <c r="Q318" s="855"/>
    </row>
    <row r="319" spans="1:33" ht="32.25" customHeight="1">
      <c r="A319" s="3439" t="s">
        <v>7165</v>
      </c>
      <c r="B319" s="3440"/>
      <c r="C319" s="3440"/>
      <c r="D319" s="3440"/>
      <c r="E319" s="3440"/>
      <c r="F319" s="3440"/>
      <c r="G319" s="3440"/>
      <c r="H319" s="3440"/>
      <c r="I319" s="3440"/>
      <c r="J319" s="3440"/>
      <c r="K319" s="3440"/>
      <c r="L319" s="3440"/>
      <c r="M319" s="3440"/>
      <c r="N319" s="3440"/>
      <c r="O319" s="3440"/>
      <c r="P319" s="3440"/>
      <c r="Q319" s="344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81"/>
      <c r="E320" s="2381"/>
      <c r="F320" s="2381"/>
      <c r="G320" s="2381"/>
      <c r="H320" s="2381"/>
      <c r="I320" s="2381"/>
      <c r="J320" s="2381"/>
      <c r="K320" s="2381"/>
      <c r="L320" s="2381"/>
      <c r="M320" s="2381"/>
      <c r="N320" s="2381"/>
      <c r="O320" s="2381"/>
      <c r="P320" s="2381"/>
      <c r="Q320" s="2381"/>
    </row>
    <row r="321" spans="1:256 1523:1523" ht="45.75" customHeight="1">
      <c r="A321" s="3609"/>
      <c r="B321" s="3610"/>
      <c r="C321" s="3610"/>
      <c r="D321" s="3610"/>
      <c r="E321" s="3610"/>
      <c r="F321" s="3610"/>
      <c r="G321" s="3610"/>
      <c r="H321" s="3610"/>
      <c r="I321" s="3610"/>
      <c r="J321" s="3610"/>
      <c r="K321" s="3610"/>
      <c r="L321" s="3610"/>
      <c r="M321" s="3610"/>
      <c r="N321" s="3610"/>
      <c r="O321" s="3610"/>
      <c r="P321" s="3610"/>
      <c r="Q321" s="3611"/>
    </row>
    <row r="322" spans="1:256 1523:1523" ht="14.1" customHeight="1">
      <c r="A322" s="2373" t="s">
        <v>3784</v>
      </c>
      <c r="B322" s="10" t="s">
        <v>2592</v>
      </c>
      <c r="C322" s="10"/>
      <c r="D322" s="10"/>
      <c r="E322" s="10"/>
      <c r="F322" s="10"/>
      <c r="G322" s="10"/>
      <c r="H322" s="2381"/>
      <c r="I322" s="2381"/>
      <c r="J322" s="2381"/>
      <c r="K322" s="2381"/>
      <c r="L322" s="2381"/>
      <c r="M322" s="2381"/>
      <c r="O322" s="131" t="s">
        <v>1821</v>
      </c>
      <c r="P322" s="3612"/>
      <c r="Q322" s="3613"/>
    </row>
    <row r="323" spans="1:256 1523:1523" ht="11.4" customHeight="1">
      <c r="B323" s="144" t="s">
        <v>2195</v>
      </c>
      <c r="P323" s="2256" t="s">
        <v>2889</v>
      </c>
      <c r="Q323" s="518"/>
    </row>
    <row r="324" spans="1:256 1523:1523" ht="12" customHeight="1">
      <c r="B324" s="842" t="s">
        <v>2155</v>
      </c>
      <c r="C324" s="842"/>
      <c r="D324" s="842"/>
      <c r="E324" s="842"/>
      <c r="F324" s="842"/>
      <c r="G324" s="842"/>
      <c r="H324" s="842"/>
      <c r="I324" s="842"/>
      <c r="J324" s="842"/>
      <c r="K324" s="842"/>
      <c r="L324" s="842"/>
      <c r="P324" s="2258" t="s">
        <v>2886</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3443" t="s">
        <v>2781</v>
      </c>
      <c r="C326" s="3443"/>
      <c r="D326" s="3443"/>
      <c r="E326" s="3443"/>
      <c r="F326" s="3443"/>
      <c r="G326" s="3443"/>
      <c r="H326" s="3443"/>
      <c r="I326" s="3443"/>
      <c r="J326" s="3443"/>
      <c r="K326" s="3443"/>
      <c r="L326" s="3443"/>
      <c r="M326" s="3443"/>
      <c r="N326" s="3443"/>
      <c r="O326" s="160" t="s">
        <v>1936</v>
      </c>
      <c r="P326" s="2273"/>
      <c r="Q326" s="2629"/>
    </row>
    <row r="327" spans="1:256 1523:1523" ht="12.6" customHeight="1">
      <c r="A327" s="141" t="s">
        <v>1938</v>
      </c>
      <c r="B327" s="213" t="s">
        <v>451</v>
      </c>
      <c r="D327" s="213"/>
      <c r="E327" s="213"/>
      <c r="F327" s="213"/>
      <c r="G327" s="213"/>
      <c r="H327" s="213"/>
      <c r="I327" s="213"/>
      <c r="J327" s="213"/>
      <c r="K327" s="213"/>
      <c r="L327" s="213"/>
      <c r="M327" s="213"/>
      <c r="O327" s="160" t="s">
        <v>1938</v>
      </c>
      <c r="P327" s="2375"/>
      <c r="Q327" s="855"/>
    </row>
    <row r="328" spans="1:256 1523:1523" ht="36" customHeight="1">
      <c r="B328" s="842" t="s">
        <v>1694</v>
      </c>
      <c r="C328" s="139" t="s">
        <v>1109</v>
      </c>
      <c r="E328" s="132"/>
      <c r="F328" s="132"/>
      <c r="G328" s="3670" t="s">
        <v>4363</v>
      </c>
      <c r="H328" s="3671"/>
      <c r="I328" s="3671"/>
      <c r="J328" s="3671"/>
      <c r="K328" s="3671"/>
      <c r="L328" s="3671"/>
      <c r="M328" s="3671"/>
      <c r="N328" s="3672"/>
      <c r="O328" s="215" t="s">
        <v>1694</v>
      </c>
      <c r="P328" s="2268" t="s">
        <v>2886</v>
      </c>
      <c r="Q328" s="1088"/>
      <c r="BFO328" s="147" t="s">
        <v>2644</v>
      </c>
    </row>
    <row r="329" spans="1:256 1523:1523" ht="23.25" customHeight="1">
      <c r="B329" s="842" t="s">
        <v>1695</v>
      </c>
      <c r="C329" s="3443" t="s">
        <v>1110</v>
      </c>
      <c r="D329" s="3443"/>
      <c r="E329" s="3443"/>
      <c r="F329" s="3614"/>
      <c r="G329" s="2958" t="s">
        <v>2578</v>
      </c>
      <c r="H329" s="3626"/>
      <c r="I329" s="3626"/>
      <c r="J329" s="3626"/>
      <c r="K329" s="3626"/>
      <c r="L329" s="3626"/>
      <c r="M329" s="3626"/>
      <c r="N329" s="3627"/>
      <c r="O329" s="215" t="s">
        <v>1695</v>
      </c>
      <c r="P329" s="2388" t="s">
        <v>2886</v>
      </c>
      <c r="Q329" s="2251"/>
    </row>
    <row r="330" spans="1:256 1523:1523" ht="3" customHeight="1">
      <c r="A330" s="2375"/>
      <c r="B330" s="1106"/>
      <c r="C330" s="2375"/>
      <c r="D330" s="2375"/>
      <c r="E330" s="2375"/>
      <c r="F330" s="2375"/>
      <c r="G330" s="2375"/>
      <c r="H330" s="2375"/>
      <c r="I330" s="2375"/>
      <c r="J330" s="2375"/>
      <c r="K330" s="2375"/>
      <c r="L330" s="2375"/>
      <c r="M330" s="2375"/>
      <c r="N330" s="2375"/>
      <c r="O330" s="2375"/>
      <c r="P330" s="2375"/>
      <c r="Q330" s="2375"/>
      <c r="R330" s="2375"/>
      <c r="S330" s="2375"/>
      <c r="T330" s="2375"/>
      <c r="U330" s="2375"/>
      <c r="V330" s="2375"/>
      <c r="W330" s="2375"/>
      <c r="X330" s="2375"/>
      <c r="Y330" s="2375"/>
      <c r="Z330" s="2375"/>
      <c r="AA330" s="2375"/>
      <c r="AB330" s="2375"/>
      <c r="AC330" s="2375"/>
      <c r="AD330" s="2375"/>
      <c r="AE330" s="855"/>
      <c r="AF330" s="855"/>
      <c r="AG330" s="2375"/>
      <c r="AH330" s="2375"/>
      <c r="AI330" s="2375"/>
      <c r="AJ330" s="2375"/>
      <c r="AK330" s="2375"/>
      <c r="AL330" s="2375"/>
      <c r="AM330" s="2375"/>
      <c r="AN330" s="2375"/>
      <c r="AO330" s="2375"/>
      <c r="AP330" s="2375"/>
      <c r="AQ330" s="2375"/>
      <c r="AR330" s="2375"/>
      <c r="AS330" s="2375"/>
      <c r="AT330" s="2375"/>
      <c r="AU330" s="2375"/>
      <c r="AV330" s="2375"/>
      <c r="AW330" s="2375"/>
      <c r="AX330" s="2375"/>
      <c r="AY330" s="2375"/>
      <c r="AZ330" s="2375"/>
      <c r="BA330" s="2375"/>
      <c r="BB330" s="2375"/>
      <c r="BC330" s="2375"/>
      <c r="BD330" s="2375"/>
      <c r="BE330" s="2375"/>
      <c r="BF330" s="2375"/>
      <c r="BG330" s="2375"/>
      <c r="BH330" s="2375"/>
      <c r="BI330" s="2375"/>
      <c r="BJ330" s="2375"/>
      <c r="BK330" s="2375"/>
      <c r="BL330" s="2375"/>
      <c r="BM330" s="2375"/>
      <c r="BN330" s="2375"/>
      <c r="BO330" s="2375"/>
      <c r="BP330" s="2375"/>
      <c r="BQ330" s="2375"/>
      <c r="BR330" s="2375"/>
      <c r="BS330" s="2375"/>
      <c r="BT330" s="2375"/>
      <c r="BU330" s="2375"/>
      <c r="BV330" s="2375"/>
      <c r="BW330" s="2375"/>
      <c r="BX330" s="2375"/>
      <c r="BY330" s="2375"/>
      <c r="BZ330" s="2375"/>
      <c r="CA330" s="2375"/>
      <c r="CB330" s="2375"/>
      <c r="CC330" s="2375"/>
      <c r="CD330" s="2375"/>
      <c r="CE330" s="2375"/>
      <c r="CF330" s="2375"/>
      <c r="CG330" s="2375"/>
      <c r="CH330" s="2375"/>
      <c r="CI330" s="2375"/>
      <c r="CJ330" s="2375"/>
      <c r="CK330" s="2375"/>
      <c r="CL330" s="2375"/>
      <c r="CM330" s="2375"/>
      <c r="CN330" s="2375"/>
      <c r="CO330" s="2375"/>
      <c r="CP330" s="2375"/>
      <c r="CQ330" s="2375"/>
      <c r="CR330" s="2375"/>
      <c r="CS330" s="2375"/>
      <c r="CT330" s="2375"/>
      <c r="CU330" s="2375"/>
      <c r="CV330" s="2375"/>
      <c r="CW330" s="2375"/>
      <c r="CX330" s="2375"/>
      <c r="CY330" s="2375"/>
      <c r="CZ330" s="2375"/>
      <c r="DA330" s="2375"/>
      <c r="DB330" s="2375"/>
      <c r="DC330" s="2375"/>
      <c r="DD330" s="2375"/>
      <c r="DE330" s="2375"/>
      <c r="DF330" s="2375"/>
      <c r="DG330" s="2375"/>
      <c r="DH330" s="2375"/>
      <c r="DI330" s="2375"/>
      <c r="DJ330" s="2375"/>
      <c r="DK330" s="2375"/>
      <c r="DL330" s="2375"/>
      <c r="DM330" s="2375"/>
      <c r="DN330" s="2375"/>
      <c r="DO330" s="2375"/>
      <c r="DP330" s="2375"/>
      <c r="DQ330" s="2375"/>
      <c r="DR330" s="2375"/>
      <c r="DS330" s="2375"/>
      <c r="DT330" s="2375"/>
      <c r="DU330" s="2375"/>
      <c r="DV330" s="2375"/>
      <c r="DW330" s="2375"/>
      <c r="DX330" s="2375"/>
      <c r="DY330" s="2375"/>
      <c r="DZ330" s="2375"/>
      <c r="EA330" s="2375"/>
      <c r="EB330" s="2375"/>
      <c r="EC330" s="2375"/>
      <c r="ED330" s="2375"/>
      <c r="EE330" s="2375"/>
      <c r="EF330" s="2375"/>
      <c r="EG330" s="2375"/>
      <c r="EH330" s="2375"/>
      <c r="EI330" s="2375"/>
      <c r="EJ330" s="2375"/>
      <c r="EK330" s="2375"/>
      <c r="EL330" s="2375"/>
      <c r="EM330" s="2375"/>
      <c r="EN330" s="2375"/>
      <c r="EO330" s="2375"/>
      <c r="EP330" s="2375"/>
      <c r="EQ330" s="2375"/>
      <c r="ER330" s="2375"/>
      <c r="ES330" s="2375"/>
      <c r="ET330" s="2375"/>
      <c r="EU330" s="2375"/>
      <c r="EV330" s="2375"/>
      <c r="EW330" s="2375"/>
      <c r="EX330" s="2375"/>
      <c r="EY330" s="2375"/>
      <c r="EZ330" s="2375"/>
      <c r="FA330" s="2375"/>
      <c r="FB330" s="2375"/>
      <c r="FC330" s="2375"/>
      <c r="FD330" s="2375"/>
      <c r="FE330" s="2375"/>
      <c r="FF330" s="2375"/>
      <c r="FG330" s="2375"/>
      <c r="FH330" s="2375"/>
      <c r="FI330" s="2375"/>
      <c r="FJ330" s="2375"/>
      <c r="FK330" s="2375"/>
      <c r="FL330" s="2375"/>
      <c r="FM330" s="2375"/>
      <c r="FN330" s="2375"/>
      <c r="FO330" s="2375"/>
      <c r="FP330" s="2375"/>
      <c r="FQ330" s="2375"/>
      <c r="FR330" s="2375"/>
      <c r="FS330" s="2375"/>
      <c r="FT330" s="2375"/>
      <c r="FU330" s="2375"/>
      <c r="FV330" s="2375"/>
      <c r="FW330" s="2375"/>
      <c r="FX330" s="2375"/>
      <c r="FY330" s="2375"/>
      <c r="FZ330" s="2375"/>
      <c r="GA330" s="2375"/>
      <c r="GB330" s="2375"/>
      <c r="GC330" s="2375"/>
      <c r="GD330" s="2375"/>
      <c r="GE330" s="2375"/>
      <c r="GF330" s="2375"/>
      <c r="GG330" s="2375"/>
      <c r="GH330" s="2375"/>
      <c r="GI330" s="2375"/>
      <c r="GJ330" s="2375"/>
      <c r="GK330" s="2375"/>
      <c r="GL330" s="2375"/>
      <c r="GM330" s="2375"/>
      <c r="GN330" s="2375"/>
      <c r="GO330" s="2375"/>
      <c r="GP330" s="2375"/>
      <c r="GQ330" s="2375"/>
      <c r="GR330" s="2375"/>
      <c r="GS330" s="2375"/>
      <c r="GT330" s="2375"/>
      <c r="GU330" s="2375"/>
      <c r="GV330" s="2375"/>
      <c r="GW330" s="2375"/>
      <c r="GX330" s="2375"/>
      <c r="GY330" s="2375"/>
      <c r="GZ330" s="2375"/>
      <c r="HA330" s="2375"/>
      <c r="HB330" s="2375"/>
      <c r="HC330" s="2375"/>
      <c r="HD330" s="2375"/>
      <c r="HE330" s="2375"/>
      <c r="HF330" s="2375"/>
      <c r="HG330" s="2375"/>
      <c r="HH330" s="2375"/>
      <c r="HI330" s="2375"/>
      <c r="HJ330" s="2375"/>
      <c r="HK330" s="2375"/>
      <c r="HL330" s="2375"/>
      <c r="HM330" s="2375"/>
      <c r="HN330" s="2375"/>
      <c r="HO330" s="2375"/>
      <c r="HP330" s="2375"/>
      <c r="HQ330" s="2375"/>
      <c r="HR330" s="2375"/>
      <c r="HS330" s="2375"/>
      <c r="HT330" s="2375"/>
      <c r="HU330" s="2375"/>
      <c r="HV330" s="2375"/>
      <c r="HW330" s="2375"/>
      <c r="HX330" s="2375"/>
      <c r="HY330" s="2375"/>
      <c r="HZ330" s="2375"/>
      <c r="IA330" s="2375"/>
      <c r="IB330" s="2375"/>
      <c r="IC330" s="2375"/>
      <c r="ID330" s="2375"/>
      <c r="IE330" s="2375"/>
      <c r="IF330" s="2375"/>
      <c r="IG330" s="2375"/>
      <c r="IH330" s="2375"/>
      <c r="II330" s="2375"/>
      <c r="IJ330" s="2375"/>
      <c r="IK330" s="2375"/>
      <c r="IL330" s="2375"/>
      <c r="IM330" s="2375"/>
      <c r="IN330" s="2375"/>
      <c r="IO330" s="2375"/>
      <c r="IP330" s="2375"/>
      <c r="IQ330" s="2375"/>
      <c r="IR330" s="2375"/>
      <c r="IS330" s="2375"/>
      <c r="IT330" s="2375"/>
      <c r="IU330" s="2375"/>
      <c r="IV330" s="2375"/>
    </row>
    <row r="331" spans="1:256 1523:1523" s="132" customFormat="1" ht="22.5" customHeight="1">
      <c r="A331" s="141" t="s">
        <v>731</v>
      </c>
      <c r="B331" s="3491" t="s">
        <v>2596</v>
      </c>
      <c r="C331" s="3491"/>
      <c r="D331" s="3491"/>
      <c r="E331" s="3491"/>
      <c r="F331" s="3491"/>
      <c r="G331" s="3491"/>
      <c r="H331" s="3491"/>
      <c r="I331" s="3491"/>
      <c r="J331" s="3491"/>
      <c r="K331" s="3491"/>
      <c r="L331" s="3491"/>
      <c r="M331" s="3491"/>
      <c r="N331" s="3491"/>
      <c r="O331" s="438" t="s">
        <v>731</v>
      </c>
      <c r="P331" s="2375"/>
      <c r="Q331" s="855"/>
      <c r="AE331" s="458"/>
      <c r="AF331" s="458"/>
    </row>
    <row r="332" spans="1:256 1523:1523" s="132" customFormat="1" ht="11.25" customHeight="1">
      <c r="A332" s="143"/>
      <c r="B332" s="842" t="s">
        <v>1694</v>
      </c>
      <c r="C332" s="3615"/>
      <c r="D332" s="3616"/>
      <c r="E332" s="3616"/>
      <c r="F332" s="3616"/>
      <c r="G332" s="3616"/>
      <c r="H332" s="3616"/>
      <c r="I332" s="3616"/>
      <c r="J332" s="3616"/>
      <c r="K332" s="3616"/>
      <c r="L332" s="3616"/>
      <c r="M332" s="3616"/>
      <c r="N332" s="3617"/>
      <c r="O332" s="215" t="s">
        <v>1694</v>
      </c>
      <c r="P332" s="2268"/>
      <c r="Q332" s="1088"/>
      <c r="AE332" s="458"/>
      <c r="AF332" s="458"/>
    </row>
    <row r="333" spans="1:256 1523:1523" s="132" customFormat="1" ht="11.25" customHeight="1">
      <c r="A333" s="143"/>
      <c r="B333" s="842" t="s">
        <v>1695</v>
      </c>
      <c r="C333" s="3462"/>
      <c r="D333" s="3463"/>
      <c r="E333" s="3463"/>
      <c r="F333" s="3463"/>
      <c r="G333" s="3463"/>
      <c r="H333" s="3463"/>
      <c r="I333" s="3463"/>
      <c r="J333" s="3463"/>
      <c r="K333" s="3463"/>
      <c r="L333" s="3463"/>
      <c r="M333" s="3463"/>
      <c r="N333" s="3464"/>
      <c r="O333" s="215" t="s">
        <v>1695</v>
      </c>
      <c r="P333" s="2388"/>
      <c r="Q333" s="2251"/>
      <c r="AE333" s="458"/>
      <c r="AF333" s="458"/>
    </row>
    <row r="334" spans="1:256 1523:1523" ht="3" customHeight="1">
      <c r="A334" s="2375"/>
      <c r="B334" s="2375"/>
      <c r="C334" s="2375"/>
      <c r="D334" s="2375"/>
      <c r="E334" s="2375"/>
      <c r="F334" s="2375"/>
      <c r="G334" s="2375"/>
      <c r="H334" s="2375"/>
      <c r="I334" s="2375"/>
      <c r="J334" s="2375"/>
      <c r="K334" s="2375"/>
      <c r="L334" s="2375"/>
      <c r="M334" s="2375"/>
      <c r="N334" s="2375"/>
      <c r="O334" s="2375"/>
      <c r="P334" s="2375"/>
      <c r="Q334" s="2375"/>
      <c r="R334" s="2375"/>
      <c r="S334" s="2375"/>
      <c r="T334" s="2375"/>
      <c r="U334" s="2375"/>
      <c r="V334" s="2375"/>
      <c r="W334" s="2375"/>
      <c r="X334" s="2375"/>
      <c r="Y334" s="2375"/>
      <c r="Z334" s="2375"/>
      <c r="AA334" s="2375"/>
      <c r="AB334" s="2375"/>
      <c r="AC334" s="2375"/>
      <c r="AD334" s="2375"/>
      <c r="AE334" s="855"/>
      <c r="AF334" s="855"/>
      <c r="AG334" s="2375"/>
      <c r="AH334" s="2375"/>
      <c r="AI334" s="2375"/>
      <c r="AJ334" s="2375"/>
      <c r="AK334" s="2375"/>
      <c r="AL334" s="2375"/>
      <c r="AM334" s="2375"/>
      <c r="AN334" s="2375"/>
      <c r="AO334" s="2375"/>
      <c r="AP334" s="2375"/>
      <c r="AQ334" s="2375"/>
      <c r="AR334" s="2375"/>
      <c r="AS334" s="2375"/>
      <c r="AT334" s="2375"/>
      <c r="AU334" s="2375"/>
      <c r="AV334" s="2375"/>
      <c r="AW334" s="2375"/>
      <c r="AX334" s="2375"/>
      <c r="AY334" s="2375"/>
      <c r="AZ334" s="2375"/>
      <c r="BA334" s="2375"/>
      <c r="BB334" s="2375"/>
      <c r="BC334" s="2375"/>
      <c r="BD334" s="2375"/>
      <c r="BE334" s="2375"/>
      <c r="BF334" s="2375"/>
      <c r="BG334" s="2375"/>
      <c r="BH334" s="2375"/>
      <c r="BI334" s="2375"/>
      <c r="BJ334" s="2375"/>
      <c r="BK334" s="2375"/>
      <c r="BL334" s="2375"/>
      <c r="BM334" s="2375"/>
      <c r="BN334" s="2375"/>
      <c r="BO334" s="2375"/>
      <c r="BP334" s="2375"/>
      <c r="BQ334" s="2375"/>
      <c r="BR334" s="2375"/>
      <c r="BS334" s="2375"/>
      <c r="BT334" s="2375"/>
      <c r="BU334" s="2375"/>
      <c r="BV334" s="2375"/>
      <c r="BW334" s="2375"/>
      <c r="BX334" s="2375"/>
      <c r="BY334" s="2375"/>
      <c r="BZ334" s="2375"/>
      <c r="CA334" s="2375"/>
      <c r="CB334" s="2375"/>
      <c r="CC334" s="2375"/>
      <c r="CD334" s="2375"/>
      <c r="CE334" s="2375"/>
      <c r="CF334" s="2375"/>
      <c r="CG334" s="2375"/>
      <c r="CH334" s="2375"/>
      <c r="CI334" s="2375"/>
      <c r="CJ334" s="2375"/>
      <c r="CK334" s="2375"/>
      <c r="CL334" s="2375"/>
      <c r="CM334" s="2375"/>
      <c r="CN334" s="2375"/>
      <c r="CO334" s="2375"/>
      <c r="CP334" s="2375"/>
      <c r="CQ334" s="2375"/>
      <c r="CR334" s="2375"/>
      <c r="CS334" s="2375"/>
      <c r="CT334" s="2375"/>
      <c r="CU334" s="2375"/>
      <c r="CV334" s="2375"/>
      <c r="CW334" s="2375"/>
      <c r="CX334" s="2375"/>
      <c r="CY334" s="2375"/>
      <c r="CZ334" s="2375"/>
      <c r="DA334" s="2375"/>
      <c r="DB334" s="2375"/>
      <c r="DC334" s="2375"/>
      <c r="DD334" s="2375"/>
      <c r="DE334" s="2375"/>
      <c r="DF334" s="2375"/>
      <c r="DG334" s="2375"/>
      <c r="DH334" s="2375"/>
      <c r="DI334" s="2375"/>
      <c r="DJ334" s="2375"/>
      <c r="DK334" s="2375"/>
      <c r="DL334" s="2375"/>
      <c r="DM334" s="2375"/>
      <c r="DN334" s="2375"/>
      <c r="DO334" s="2375"/>
      <c r="DP334" s="2375"/>
      <c r="DQ334" s="2375"/>
      <c r="DR334" s="2375"/>
      <c r="DS334" s="2375"/>
      <c r="DT334" s="2375"/>
      <c r="DU334" s="2375"/>
      <c r="DV334" s="2375"/>
      <c r="DW334" s="2375"/>
      <c r="DX334" s="2375"/>
      <c r="DY334" s="2375"/>
      <c r="DZ334" s="2375"/>
      <c r="EA334" s="2375"/>
      <c r="EB334" s="2375"/>
      <c r="EC334" s="2375"/>
      <c r="ED334" s="2375"/>
      <c r="EE334" s="2375"/>
      <c r="EF334" s="2375"/>
      <c r="EG334" s="2375"/>
      <c r="EH334" s="2375"/>
      <c r="EI334" s="2375"/>
      <c r="EJ334" s="2375"/>
      <c r="EK334" s="2375"/>
      <c r="EL334" s="2375"/>
      <c r="EM334" s="2375"/>
      <c r="EN334" s="2375"/>
      <c r="EO334" s="2375"/>
      <c r="EP334" s="2375"/>
      <c r="EQ334" s="2375"/>
      <c r="ER334" s="2375"/>
      <c r="ES334" s="2375"/>
      <c r="ET334" s="2375"/>
      <c r="EU334" s="2375"/>
      <c r="EV334" s="2375"/>
      <c r="EW334" s="2375"/>
      <c r="EX334" s="2375"/>
      <c r="EY334" s="2375"/>
      <c r="EZ334" s="2375"/>
      <c r="FA334" s="2375"/>
      <c r="FB334" s="2375"/>
      <c r="FC334" s="2375"/>
      <c r="FD334" s="2375"/>
      <c r="FE334" s="2375"/>
      <c r="FF334" s="2375"/>
      <c r="FG334" s="2375"/>
      <c r="FH334" s="2375"/>
      <c r="FI334" s="2375"/>
      <c r="FJ334" s="2375"/>
      <c r="FK334" s="2375"/>
      <c r="FL334" s="2375"/>
      <c r="FM334" s="2375"/>
      <c r="FN334" s="2375"/>
      <c r="FO334" s="2375"/>
      <c r="FP334" s="2375"/>
      <c r="FQ334" s="2375"/>
      <c r="FR334" s="2375"/>
      <c r="FS334" s="2375"/>
      <c r="FT334" s="2375"/>
      <c r="FU334" s="2375"/>
      <c r="FV334" s="2375"/>
      <c r="FW334" s="2375"/>
      <c r="FX334" s="2375"/>
      <c r="FY334" s="2375"/>
      <c r="FZ334" s="2375"/>
      <c r="GA334" s="2375"/>
      <c r="GB334" s="2375"/>
      <c r="GC334" s="2375"/>
      <c r="GD334" s="2375"/>
      <c r="GE334" s="2375"/>
      <c r="GF334" s="2375"/>
      <c r="GG334" s="2375"/>
      <c r="GH334" s="2375"/>
      <c r="GI334" s="2375"/>
      <c r="GJ334" s="2375"/>
      <c r="GK334" s="2375"/>
      <c r="GL334" s="2375"/>
      <c r="GM334" s="2375"/>
      <c r="GN334" s="2375"/>
      <c r="GO334" s="2375"/>
      <c r="GP334" s="2375"/>
      <c r="GQ334" s="2375"/>
      <c r="GR334" s="2375"/>
      <c r="GS334" s="2375"/>
      <c r="GT334" s="2375"/>
      <c r="GU334" s="2375"/>
      <c r="GV334" s="2375"/>
      <c r="GW334" s="2375"/>
      <c r="GX334" s="2375"/>
      <c r="GY334" s="2375"/>
      <c r="GZ334" s="2375"/>
      <c r="HA334" s="2375"/>
      <c r="HB334" s="2375"/>
      <c r="HC334" s="2375"/>
      <c r="HD334" s="2375"/>
      <c r="HE334" s="2375"/>
      <c r="HF334" s="2375"/>
      <c r="HG334" s="2375"/>
      <c r="HH334" s="2375"/>
      <c r="HI334" s="2375"/>
      <c r="HJ334" s="2375"/>
      <c r="HK334" s="2375"/>
      <c r="HL334" s="2375"/>
      <c r="HM334" s="2375"/>
      <c r="HN334" s="2375"/>
      <c r="HO334" s="2375"/>
      <c r="HP334" s="2375"/>
      <c r="HQ334" s="2375"/>
      <c r="HR334" s="2375"/>
      <c r="HS334" s="2375"/>
      <c r="HT334" s="2375"/>
      <c r="HU334" s="2375"/>
      <c r="HV334" s="2375"/>
      <c r="HW334" s="2375"/>
      <c r="HX334" s="2375"/>
      <c r="HY334" s="2375"/>
      <c r="HZ334" s="2375"/>
      <c r="IA334" s="2375"/>
      <c r="IB334" s="2375"/>
      <c r="IC334" s="2375"/>
      <c r="ID334" s="2375"/>
      <c r="IE334" s="2375"/>
      <c r="IF334" s="2375"/>
      <c r="IG334" s="2375"/>
      <c r="IH334" s="2375"/>
      <c r="II334" s="2375"/>
      <c r="IJ334" s="2375"/>
      <c r="IK334" s="2375"/>
      <c r="IL334" s="2375"/>
      <c r="IM334" s="2375"/>
      <c r="IN334" s="2375"/>
      <c r="IO334" s="2375"/>
      <c r="IP334" s="2375"/>
      <c r="IQ334" s="2375"/>
      <c r="IR334" s="2375"/>
      <c r="IS334" s="2375"/>
      <c r="IT334" s="2375"/>
      <c r="IU334" s="2375"/>
      <c r="IV334" s="2375"/>
    </row>
    <row r="335" spans="1:256 1523:1523" ht="11.25" customHeight="1">
      <c r="B335" s="140" t="s">
        <v>3566</v>
      </c>
      <c r="D335" s="140"/>
      <c r="E335" s="140"/>
      <c r="F335" s="140"/>
      <c r="G335" s="140"/>
      <c r="H335" s="40"/>
      <c r="I335" s="2399"/>
      <c r="J335" s="2399"/>
      <c r="K335" s="2399"/>
      <c r="L335" s="2375"/>
      <c r="M335" s="2375"/>
      <c r="N335" s="2375"/>
      <c r="O335" s="2375"/>
      <c r="P335" s="2375"/>
      <c r="Q335" s="855"/>
    </row>
    <row r="336" spans="1:256 1523:1523" ht="30.75" customHeight="1">
      <c r="A336" s="3439" t="s">
        <v>7055</v>
      </c>
      <c r="B336" s="3440"/>
      <c r="C336" s="3440"/>
      <c r="D336" s="3440"/>
      <c r="E336" s="3440"/>
      <c r="F336" s="3440"/>
      <c r="G336" s="3440"/>
      <c r="H336" s="3440"/>
      <c r="I336" s="3440"/>
      <c r="J336" s="3440"/>
      <c r="K336" s="3440"/>
      <c r="L336" s="3440"/>
      <c r="M336" s="3440"/>
      <c r="N336" s="3440"/>
      <c r="O336" s="3440"/>
      <c r="P336" s="3440"/>
      <c r="Q336" s="344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81"/>
      <c r="E337" s="2381"/>
      <c r="F337" s="2381"/>
      <c r="G337" s="2381"/>
      <c r="H337" s="2381"/>
      <c r="I337" s="2381"/>
      <c r="J337" s="2381"/>
      <c r="K337" s="2381"/>
      <c r="L337" s="2381"/>
      <c r="M337" s="2381"/>
      <c r="N337" s="2381"/>
      <c r="O337" s="2381"/>
      <c r="P337" s="2381"/>
      <c r="Q337" s="2381"/>
    </row>
    <row r="338" spans="1:31" ht="11.4" customHeight="1">
      <c r="A338" s="3433"/>
      <c r="B338" s="3434"/>
      <c r="C338" s="3434"/>
      <c r="D338" s="3434"/>
      <c r="E338" s="3434"/>
      <c r="F338" s="3434"/>
      <c r="G338" s="3434"/>
      <c r="H338" s="3434"/>
      <c r="I338" s="3434"/>
      <c r="J338" s="3434"/>
      <c r="K338" s="3434"/>
      <c r="L338" s="3434"/>
      <c r="M338" s="3434"/>
      <c r="N338" s="3434"/>
      <c r="O338" s="3434"/>
      <c r="P338" s="3434"/>
      <c r="Q338" s="3435"/>
    </row>
    <row r="339" spans="1:31" ht="21" customHeight="1">
      <c r="A339" s="2373" t="s">
        <v>3787</v>
      </c>
      <c r="B339" s="2373" t="s">
        <v>3808</v>
      </c>
      <c r="C339" s="2373"/>
      <c r="D339" s="2381"/>
      <c r="E339" s="2381"/>
      <c r="F339" s="2381"/>
      <c r="G339" s="2381"/>
      <c r="H339" s="2381"/>
      <c r="O339" s="131" t="s">
        <v>1821</v>
      </c>
      <c r="P339" s="3442"/>
      <c r="Q339" s="3429"/>
    </row>
    <row r="340" spans="1:31" ht="11.4" customHeight="1">
      <c r="A340" s="47" t="s">
        <v>1936</v>
      </c>
      <c r="B340" s="55" t="s">
        <v>4711</v>
      </c>
      <c r="O340" s="160" t="s">
        <v>1936</v>
      </c>
      <c r="P340" s="2256" t="s">
        <v>2886</v>
      </c>
      <c r="Q340" s="518"/>
    </row>
    <row r="341" spans="1:31" ht="11.4" customHeight="1">
      <c r="A341" s="141" t="s">
        <v>1938</v>
      </c>
      <c r="B341" s="55" t="s">
        <v>3775</v>
      </c>
      <c r="O341" s="160" t="s">
        <v>1938</v>
      </c>
      <c r="P341" s="2257" t="s">
        <v>2886</v>
      </c>
      <c r="Q341" s="519"/>
    </row>
    <row r="342" spans="1:31" ht="11.4" customHeight="1">
      <c r="A342" s="141" t="s">
        <v>731</v>
      </c>
      <c r="B342" s="144" t="s">
        <v>2291</v>
      </c>
      <c r="O342" s="160" t="s">
        <v>731</v>
      </c>
      <c r="P342" s="2257" t="s">
        <v>2889</v>
      </c>
      <c r="Q342" s="519"/>
    </row>
    <row r="343" spans="1:31" ht="11.4" customHeight="1">
      <c r="A343" s="47" t="s">
        <v>2065</v>
      </c>
      <c r="B343" s="55" t="s">
        <v>3628</v>
      </c>
      <c r="O343" s="455" t="s">
        <v>2065</v>
      </c>
      <c r="P343" s="2258" t="s">
        <v>2889</v>
      </c>
      <c r="Q343" s="520"/>
    </row>
    <row r="344" spans="1:31" ht="11.4" customHeight="1">
      <c r="A344" s="141" t="s">
        <v>1692</v>
      </c>
      <c r="B344" s="55" t="s">
        <v>2782</v>
      </c>
      <c r="N344" s="160" t="s">
        <v>1692</v>
      </c>
      <c r="O344" s="3618" t="s">
        <v>4734</v>
      </c>
      <c r="P344" s="3619"/>
      <c r="Q344" s="3620"/>
    </row>
    <row r="345" spans="1:31" ht="11.4" customHeight="1">
      <c r="A345" s="141" t="s">
        <v>1693</v>
      </c>
      <c r="B345" s="407" t="s">
        <v>2292</v>
      </c>
      <c r="N345" s="160" t="s">
        <v>1693</v>
      </c>
      <c r="O345" s="3667" t="s">
        <v>2783</v>
      </c>
      <c r="P345" s="3668"/>
      <c r="Q345" s="3669"/>
    </row>
    <row r="346" spans="1:31" ht="11.25" customHeight="1">
      <c r="B346" s="140" t="s">
        <v>3566</v>
      </c>
      <c r="D346" s="140"/>
      <c r="E346" s="140"/>
      <c r="F346" s="140"/>
      <c r="G346" s="140"/>
      <c r="H346" s="40"/>
      <c r="I346" s="2399"/>
      <c r="J346" s="2399"/>
      <c r="K346" s="2399"/>
      <c r="L346" s="2375"/>
      <c r="M346" s="2375"/>
      <c r="N346" s="2375"/>
      <c r="O346" s="2375"/>
      <c r="P346" s="2375"/>
      <c r="Q346" s="855"/>
    </row>
    <row r="347" spans="1:31" ht="13.35" customHeight="1">
      <c r="A347" s="3439" t="s">
        <v>7056</v>
      </c>
      <c r="B347" s="3440"/>
      <c r="C347" s="3440"/>
      <c r="D347" s="3440"/>
      <c r="E347" s="3440"/>
      <c r="F347" s="3440"/>
      <c r="G347" s="3440"/>
      <c r="H347" s="3440"/>
      <c r="I347" s="3440"/>
      <c r="J347" s="3440"/>
      <c r="K347" s="3440"/>
      <c r="L347" s="3440"/>
      <c r="M347" s="3440"/>
      <c r="N347" s="3440"/>
      <c r="O347" s="3440"/>
      <c r="P347" s="3440"/>
      <c r="Q347" s="344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81"/>
      <c r="E348" s="2381"/>
      <c r="F348" s="2381"/>
      <c r="G348" s="2381"/>
      <c r="H348" s="2381"/>
      <c r="I348" s="2381"/>
      <c r="J348" s="2381"/>
      <c r="K348" s="2381"/>
      <c r="L348" s="2381"/>
      <c r="M348" s="2381"/>
      <c r="N348" s="2381"/>
      <c r="O348" s="2381"/>
      <c r="P348" s="2381"/>
      <c r="Q348" s="2381"/>
    </row>
    <row r="349" spans="1:31" ht="13.35" customHeight="1">
      <c r="A349" s="3433"/>
      <c r="B349" s="3434"/>
      <c r="C349" s="3434"/>
      <c r="D349" s="3434"/>
      <c r="E349" s="3434"/>
      <c r="F349" s="3434"/>
      <c r="G349" s="3434"/>
      <c r="H349" s="3434"/>
      <c r="I349" s="3434"/>
      <c r="J349" s="3434"/>
      <c r="K349" s="3434"/>
      <c r="L349" s="3434"/>
      <c r="M349" s="3434"/>
      <c r="N349" s="3434"/>
      <c r="O349" s="3434"/>
      <c r="P349" s="3434"/>
      <c r="Q349" s="3435"/>
    </row>
    <row r="350" spans="1:31" ht="2.25" customHeight="1">
      <c r="A350" s="2375"/>
      <c r="B350" s="2399"/>
      <c r="C350" s="2381"/>
      <c r="D350" s="2381"/>
      <c r="E350" s="2381"/>
      <c r="F350" s="2381"/>
      <c r="G350" s="2381"/>
      <c r="H350" s="2381"/>
      <c r="I350" s="2381"/>
      <c r="J350" s="2381"/>
      <c r="K350" s="2381"/>
      <c r="L350" s="2381"/>
      <c r="M350" s="2381"/>
      <c r="N350" s="2381"/>
      <c r="O350" s="2381"/>
      <c r="P350" s="2381"/>
      <c r="Q350" s="855"/>
      <c r="R350" s="8"/>
      <c r="S350" s="8"/>
    </row>
    <row r="351" spans="1:31" ht="14.1" customHeight="1">
      <c r="A351" s="2373" t="s">
        <v>3788</v>
      </c>
      <c r="B351" s="4" t="s">
        <v>3766</v>
      </c>
      <c r="C351" s="4"/>
      <c r="D351" s="4"/>
      <c r="E351" s="4"/>
      <c r="F351" s="4"/>
      <c r="G351" s="4"/>
      <c r="H351" s="2381"/>
      <c r="I351" s="2381"/>
      <c r="J351" s="2381"/>
      <c r="K351" s="2381"/>
      <c r="L351" s="2381"/>
      <c r="M351" s="2381"/>
      <c r="O351" s="131" t="s">
        <v>1821</v>
      </c>
      <c r="P351" s="3428"/>
      <c r="Q351" s="3429"/>
    </row>
    <row r="352" spans="1:31" ht="10.5" customHeight="1">
      <c r="A352" s="47" t="s">
        <v>1936</v>
      </c>
      <c r="B352" s="134" t="s">
        <v>3767</v>
      </c>
      <c r="D352" s="149"/>
      <c r="E352" s="149"/>
      <c r="F352" s="149"/>
      <c r="G352" s="149"/>
      <c r="H352" s="455" t="s">
        <v>1936</v>
      </c>
      <c r="I352" s="3430" t="s">
        <v>7166</v>
      </c>
      <c r="J352" s="3431"/>
      <c r="K352" s="3431"/>
      <c r="L352" s="3431"/>
      <c r="M352" s="3431"/>
      <c r="N352" s="3431"/>
      <c r="O352" s="3431"/>
      <c r="P352" s="3432"/>
      <c r="Q352" s="516"/>
    </row>
    <row r="353" spans="1:32" ht="10.5" customHeight="1">
      <c r="A353" s="141" t="s">
        <v>1938</v>
      </c>
      <c r="B353" s="134" t="s">
        <v>3768</v>
      </c>
      <c r="D353" s="149"/>
      <c r="E353" s="149"/>
      <c r="F353" s="149"/>
      <c r="G353" s="149"/>
      <c r="H353" s="160" t="s">
        <v>1938</v>
      </c>
      <c r="I353" s="3430" t="s">
        <v>7159</v>
      </c>
      <c r="J353" s="3431"/>
      <c r="K353" s="3431"/>
      <c r="L353" s="3431"/>
      <c r="M353" s="3431"/>
      <c r="N353" s="3431"/>
      <c r="O353" s="3431"/>
      <c r="P353" s="3432"/>
      <c r="Q353" s="516"/>
    </row>
    <row r="354" spans="1:32" ht="21.75" customHeight="1">
      <c r="A354" s="141" t="s">
        <v>731</v>
      </c>
      <c r="B354" s="3622" t="s">
        <v>3759</v>
      </c>
      <c r="C354" s="3622"/>
      <c r="D354" s="3622"/>
      <c r="E354" s="3622"/>
      <c r="F354" s="3622"/>
      <c r="G354" s="3622"/>
      <c r="H354" s="3622"/>
      <c r="I354" s="3622"/>
      <c r="J354" s="3622"/>
      <c r="K354" s="3622"/>
      <c r="L354" s="3622"/>
      <c r="M354" s="3622"/>
      <c r="N354" s="3622"/>
      <c r="O354" s="160" t="s">
        <v>731</v>
      </c>
      <c r="P354" s="2274" t="s">
        <v>2886</v>
      </c>
      <c r="Q354" s="1088"/>
    </row>
    <row r="355" spans="1:32" ht="21.75" customHeight="1">
      <c r="A355" s="141" t="s">
        <v>2065</v>
      </c>
      <c r="B355" s="3443" t="s">
        <v>3760</v>
      </c>
      <c r="C355" s="3443"/>
      <c r="D355" s="3443"/>
      <c r="E355" s="3443"/>
      <c r="F355" s="3443"/>
      <c r="G355" s="3443"/>
      <c r="H355" s="3443"/>
      <c r="I355" s="3443"/>
      <c r="J355" s="3443"/>
      <c r="K355" s="3443"/>
      <c r="L355" s="3443"/>
      <c r="M355" s="3443"/>
      <c r="N355" s="3443"/>
      <c r="O355" s="455" t="s">
        <v>2065</v>
      </c>
      <c r="P355" s="2387" t="s">
        <v>2886</v>
      </c>
      <c r="Q355" s="2395"/>
    </row>
    <row r="356" spans="1:32" ht="10.5" customHeight="1">
      <c r="A356" s="141" t="s">
        <v>1692</v>
      </c>
      <c r="B356" s="52" t="s">
        <v>3761</v>
      </c>
      <c r="D356" s="52"/>
      <c r="E356" s="52"/>
      <c r="F356" s="52"/>
      <c r="G356" s="52"/>
      <c r="H356" s="52"/>
      <c r="I356" s="52"/>
      <c r="J356" s="52"/>
      <c r="K356" s="52"/>
      <c r="L356" s="52"/>
      <c r="M356" s="52"/>
      <c r="O356" s="160" t="s">
        <v>1692</v>
      </c>
      <c r="P356" s="2257" t="s">
        <v>2886</v>
      </c>
      <c r="Q356" s="519"/>
    </row>
    <row r="357" spans="1:32" s="132" customFormat="1" ht="21.75" customHeight="1">
      <c r="A357" s="141" t="s">
        <v>1693</v>
      </c>
      <c r="B357" s="3443" t="s">
        <v>3762</v>
      </c>
      <c r="C357" s="3443"/>
      <c r="D357" s="3443"/>
      <c r="E357" s="3443"/>
      <c r="F357" s="3443"/>
      <c r="G357" s="3443"/>
      <c r="H357" s="3443"/>
      <c r="I357" s="3443"/>
      <c r="J357" s="3443"/>
      <c r="K357" s="3443"/>
      <c r="L357" s="3443"/>
      <c r="M357" s="3443"/>
      <c r="N357" s="3443"/>
      <c r="O357" s="160" t="s">
        <v>1693</v>
      </c>
      <c r="P357" s="2275" t="s">
        <v>2889</v>
      </c>
      <c r="Q357" s="2630"/>
      <c r="AE357" s="458"/>
      <c r="AF357" s="458"/>
    </row>
    <row r="358" spans="1:32" s="132" customFormat="1" ht="10.5" customHeight="1">
      <c r="A358" s="141" t="s">
        <v>1900</v>
      </c>
      <c r="B358" s="139" t="s">
        <v>3763</v>
      </c>
      <c r="D358" s="857"/>
      <c r="E358" s="857"/>
      <c r="F358" s="857"/>
      <c r="G358" s="857"/>
      <c r="H358" s="857"/>
      <c r="I358" s="857"/>
      <c r="J358" s="857"/>
      <c r="K358" s="857"/>
      <c r="L358" s="857"/>
      <c r="M358" s="857"/>
      <c r="N358" s="857"/>
      <c r="O358" s="160" t="s">
        <v>1900</v>
      </c>
      <c r="P358" s="2389" t="s">
        <v>2886</v>
      </c>
      <c r="Q358" s="1088"/>
      <c r="AE358" s="458"/>
      <c r="AF358" s="458"/>
    </row>
    <row r="359" spans="1:32" s="132" customFormat="1" ht="10.5" customHeight="1">
      <c r="C359" s="842" t="s">
        <v>4420</v>
      </c>
      <c r="E359" s="2381"/>
      <c r="F359" s="2381"/>
      <c r="G359" s="2381"/>
      <c r="H359" s="2381"/>
      <c r="I359" s="2381"/>
      <c r="J359" s="2381"/>
      <c r="K359" s="2381"/>
      <c r="L359" s="2381"/>
      <c r="M359" s="2381"/>
      <c r="N359" s="2381"/>
      <c r="P359" s="2388"/>
      <c r="Q359" s="2251"/>
      <c r="AE359" s="458"/>
      <c r="AF359" s="458"/>
    </row>
    <row r="360" spans="1:32" ht="21.75" customHeight="1">
      <c r="A360" s="141" t="s">
        <v>3264</v>
      </c>
      <c r="B360" s="3443" t="s">
        <v>3764</v>
      </c>
      <c r="C360" s="3443"/>
      <c r="D360" s="3443"/>
      <c r="E360" s="3443"/>
      <c r="F360" s="3443"/>
      <c r="G360" s="3443"/>
      <c r="H360" s="3443"/>
      <c r="I360" s="3443"/>
      <c r="J360" s="3443"/>
      <c r="K360" s="3443"/>
      <c r="L360" s="3443"/>
      <c r="M360" s="3443"/>
      <c r="N360" s="3443"/>
      <c r="O360" s="160" t="s">
        <v>3264</v>
      </c>
      <c r="P360" s="2389" t="s">
        <v>2886</v>
      </c>
      <c r="Q360" s="1088"/>
    </row>
    <row r="361" spans="1:32" ht="33" customHeight="1">
      <c r="A361" s="141" t="s">
        <v>598</v>
      </c>
      <c r="B361" s="3443" t="s">
        <v>3765</v>
      </c>
      <c r="C361" s="3443"/>
      <c r="D361" s="3443"/>
      <c r="E361" s="3443"/>
      <c r="F361" s="3443"/>
      <c r="G361" s="3443"/>
      <c r="H361" s="3443"/>
      <c r="I361" s="3443"/>
      <c r="J361" s="3443"/>
      <c r="K361" s="3443"/>
      <c r="L361" s="3443"/>
      <c r="M361" s="3443"/>
      <c r="N361" s="3443"/>
      <c r="O361" s="160" t="s">
        <v>598</v>
      </c>
      <c r="P361" s="2388" t="s">
        <v>2886</v>
      </c>
      <c r="Q361" s="2251"/>
    </row>
    <row r="362" spans="1:32" ht="10.5" customHeight="1">
      <c r="B362" s="140" t="s">
        <v>3566</v>
      </c>
      <c r="D362" s="140"/>
      <c r="E362" s="140"/>
      <c r="F362" s="140"/>
      <c r="G362" s="140"/>
      <c r="H362" s="40"/>
      <c r="I362" s="2399"/>
      <c r="J362" s="2399"/>
      <c r="K362" s="2399"/>
      <c r="L362" s="2375"/>
      <c r="M362" s="2375"/>
      <c r="N362" s="2375"/>
      <c r="O362" s="2375"/>
      <c r="P362" s="2375"/>
      <c r="Q362" s="855"/>
    </row>
    <row r="363" spans="1:32" ht="45" customHeight="1">
      <c r="A363" s="3439" t="s">
        <v>7167</v>
      </c>
      <c r="B363" s="3440"/>
      <c r="C363" s="3440"/>
      <c r="D363" s="3440"/>
      <c r="E363" s="3440"/>
      <c r="F363" s="3440"/>
      <c r="G363" s="3440"/>
      <c r="H363" s="3440"/>
      <c r="I363" s="3440"/>
      <c r="J363" s="3440"/>
      <c r="K363" s="3440"/>
      <c r="L363" s="3440"/>
      <c r="M363" s="3440"/>
      <c r="N363" s="3440"/>
      <c r="O363" s="3440"/>
      <c r="P363" s="3440"/>
      <c r="Q363" s="3441"/>
      <c r="U363" s="135"/>
      <c r="V363" s="135"/>
      <c r="W363" s="135"/>
      <c r="X363" s="135"/>
      <c r="Y363" s="135"/>
      <c r="Z363" s="135"/>
      <c r="AA363" s="135"/>
      <c r="AB363" s="135"/>
      <c r="AC363" s="135"/>
      <c r="AD363" s="135"/>
      <c r="AE363" s="457"/>
    </row>
    <row r="364" spans="1:32" ht="10.5" customHeight="1">
      <c r="B364" s="136" t="s">
        <v>1820</v>
      </c>
      <c r="C364" s="137"/>
      <c r="D364" s="2381"/>
      <c r="E364" s="2381"/>
      <c r="F364" s="2381"/>
      <c r="G364" s="2381"/>
      <c r="H364" s="2381"/>
      <c r="I364" s="2381"/>
      <c r="J364" s="2381"/>
      <c r="K364" s="2381"/>
      <c r="L364" s="2381"/>
      <c r="M364" s="2381"/>
      <c r="N364" s="2381"/>
      <c r="O364" s="2381"/>
      <c r="P364" s="2381"/>
      <c r="Q364" s="2381"/>
    </row>
    <row r="365" spans="1:32" ht="23.25" customHeight="1">
      <c r="A365" s="3433"/>
      <c r="B365" s="3434"/>
      <c r="C365" s="3434"/>
      <c r="D365" s="3434"/>
      <c r="E365" s="3434"/>
      <c r="F365" s="3434"/>
      <c r="G365" s="3434"/>
      <c r="H365" s="3434"/>
      <c r="I365" s="3434"/>
      <c r="J365" s="3434"/>
      <c r="K365" s="3434"/>
      <c r="L365" s="3434"/>
      <c r="M365" s="3434"/>
      <c r="N365" s="3434"/>
      <c r="O365" s="3434"/>
      <c r="P365" s="3434"/>
      <c r="Q365" s="3435"/>
    </row>
    <row r="366" spans="1:32" ht="3" customHeight="1">
      <c r="A366" s="2375"/>
      <c r="B366" s="2399"/>
      <c r="C366" s="2381"/>
      <c r="D366" s="2381"/>
      <c r="E366" s="2381"/>
      <c r="F366" s="2381"/>
      <c r="G366" s="2381"/>
      <c r="H366" s="2381"/>
      <c r="I366" s="2381"/>
      <c r="J366" s="2381"/>
      <c r="K366" s="2381"/>
      <c r="L366" s="2381"/>
      <c r="M366" s="2381"/>
      <c r="Q366" s="855"/>
    </row>
    <row r="367" spans="1:32" ht="14.1" customHeight="1">
      <c r="A367" s="2373" t="s">
        <v>3791</v>
      </c>
      <c r="B367" s="4" t="s">
        <v>4695</v>
      </c>
      <c r="C367" s="4"/>
      <c r="D367" s="4"/>
      <c r="E367" s="4"/>
      <c r="F367" s="4"/>
      <c r="G367" s="4"/>
      <c r="H367" s="2381"/>
      <c r="I367" s="2381"/>
      <c r="J367" s="2381"/>
      <c r="O367" s="131" t="s">
        <v>1821</v>
      </c>
      <c r="P367" s="3442"/>
      <c r="Q367" s="3429"/>
    </row>
    <row r="368" spans="1:32" s="42" customFormat="1" ht="10.5" customHeight="1">
      <c r="A368" s="47" t="s">
        <v>1936</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9" t="s">
        <v>4362</v>
      </c>
      <c r="D369" s="3469"/>
      <c r="E369" s="3469"/>
      <c r="F369" s="3469"/>
      <c r="G369" s="50"/>
      <c r="H369" s="36" t="s">
        <v>599</v>
      </c>
      <c r="J369" s="3656"/>
      <c r="K369" s="3657"/>
      <c r="L369" s="3657"/>
      <c r="M369" s="3658"/>
      <c r="N369" s="3575" t="s">
        <v>3679</v>
      </c>
      <c r="O369" s="3512"/>
      <c r="P369" s="3644"/>
      <c r="Q369" s="3645"/>
      <c r="AE369" s="50"/>
      <c r="AF369" s="50"/>
    </row>
    <row r="370" spans="1:32" s="42" customFormat="1" ht="11.25" customHeight="1">
      <c r="B370" s="40"/>
      <c r="C370" s="2386"/>
      <c r="D370" s="2386"/>
      <c r="E370" s="2386"/>
      <c r="F370" s="2386"/>
      <c r="G370" s="2386"/>
      <c r="H370" s="40" t="s">
        <v>4487</v>
      </c>
      <c r="I370" s="2386"/>
      <c r="J370" s="3430"/>
      <c r="K370" s="3431"/>
      <c r="L370" s="3431"/>
      <c r="M370" s="3431"/>
      <c r="N370" s="3431"/>
      <c r="O370" s="3431"/>
      <c r="P370" s="3431"/>
      <c r="Q370" s="3432"/>
      <c r="AE370" s="50"/>
      <c r="AF370" s="50"/>
    </row>
    <row r="371" spans="1:32" s="42" customFormat="1" ht="11.25" customHeight="1">
      <c r="B371" s="40" t="s">
        <v>1695</v>
      </c>
      <c r="C371" s="52" t="s">
        <v>3681</v>
      </c>
      <c r="J371" s="3648"/>
      <c r="K371" s="3649"/>
      <c r="O371" s="455"/>
      <c r="AE371" s="50"/>
      <c r="AF371" s="50"/>
    </row>
    <row r="372" spans="1:32" s="42" customFormat="1" ht="11.25" customHeight="1">
      <c r="A372" s="47"/>
      <c r="B372" s="40" t="s">
        <v>1696</v>
      </c>
      <c r="C372" s="52" t="s">
        <v>3682</v>
      </c>
      <c r="D372" s="46"/>
      <c r="E372" s="133"/>
      <c r="I372" s="133"/>
      <c r="J372" s="3659" t="str">
        <f>'Part I-Project Information'!K40</f>
        <v>Rural</v>
      </c>
      <c r="K372" s="3660"/>
      <c r="L372" s="2394" t="s">
        <v>3683</v>
      </c>
      <c r="M372" s="133"/>
      <c r="N372" s="133"/>
      <c r="O372" s="455" t="s">
        <v>1696</v>
      </c>
      <c r="P372" s="2259"/>
      <c r="Q372" s="517"/>
      <c r="AE372" s="50"/>
      <c r="AF372" s="50"/>
    </row>
    <row r="373" spans="1:32" s="42" customFormat="1" ht="11.25" customHeight="1">
      <c r="A373" s="47"/>
      <c r="B373" s="40" t="s">
        <v>2305</v>
      </c>
      <c r="C373" s="52" t="s">
        <v>4356</v>
      </c>
      <c r="E373" s="133"/>
      <c r="F373" s="133"/>
      <c r="G373" s="133"/>
      <c r="H373" s="52" t="s">
        <v>4357</v>
      </c>
      <c r="I373" s="133"/>
      <c r="J373" s="3646"/>
      <c r="K373" s="3647"/>
      <c r="L373" s="3665"/>
      <c r="M373" s="3666"/>
      <c r="O373" s="455"/>
      <c r="AE373" s="50"/>
      <c r="AF373" s="50"/>
    </row>
    <row r="374" spans="1:32" s="42" customFormat="1" ht="11.25" customHeight="1">
      <c r="A374" s="47"/>
      <c r="B374" s="40"/>
      <c r="C374" s="52"/>
      <c r="E374" s="133"/>
      <c r="F374" s="133"/>
      <c r="G374" s="133"/>
      <c r="H374" s="52" t="s">
        <v>4358</v>
      </c>
      <c r="I374" s="133"/>
      <c r="J374" s="3444"/>
      <c r="K374" s="3446"/>
      <c r="L374" s="3654"/>
      <c r="M374" s="3655"/>
      <c r="N374" s="52"/>
      <c r="O374" s="455"/>
      <c r="AE374" s="50"/>
      <c r="AF374" s="50"/>
    </row>
    <row r="375" spans="1:32" s="42" customFormat="1" ht="11.25" customHeight="1">
      <c r="A375" s="47"/>
      <c r="B375" s="40" t="s">
        <v>1516</v>
      </c>
      <c r="C375" s="52" t="s">
        <v>3684</v>
      </c>
      <c r="E375" s="52"/>
      <c r="F375" s="3650">
        <f>'Part IV-A-Uses of Funds'!J182</f>
        <v>800991</v>
      </c>
      <c r="G375" s="3651"/>
      <c r="H375" s="52" t="s">
        <v>3685</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4359</v>
      </c>
      <c r="I376" s="52"/>
      <c r="J376" s="3661"/>
      <c r="K376" s="3662"/>
      <c r="L376" s="3663"/>
      <c r="M376" s="3664"/>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3687</v>
      </c>
      <c r="D378" s="133"/>
      <c r="E378" s="133"/>
      <c r="F378" s="133"/>
      <c r="G378" s="133"/>
      <c r="H378" s="133"/>
      <c r="P378" s="133"/>
      <c r="Q378" s="133"/>
      <c r="R378" s="133"/>
      <c r="AE378" s="50"/>
      <c r="AF378" s="50"/>
    </row>
    <row r="379" spans="1:32" s="42" customFormat="1" ht="11.25" customHeight="1">
      <c r="B379" s="40" t="s">
        <v>1694</v>
      </c>
      <c r="C379" s="856" t="s">
        <v>4394</v>
      </c>
      <c r="E379" s="2394"/>
      <c r="F379" s="2394"/>
      <c r="G379" s="2394"/>
      <c r="H379" s="2394"/>
      <c r="P379" s="2259"/>
      <c r="Q379" s="517"/>
      <c r="AE379" s="50"/>
      <c r="AF379" s="50"/>
    </row>
    <row r="380" spans="1:32" s="42" customFormat="1" ht="11.25" customHeight="1">
      <c r="B380" s="40"/>
      <c r="C380" s="856"/>
      <c r="E380" s="2394"/>
      <c r="F380" s="2394"/>
      <c r="G380" s="2394"/>
      <c r="H380" s="2394"/>
      <c r="J380" s="3468" t="s">
        <v>3691</v>
      </c>
      <c r="K380" s="3468"/>
      <c r="L380" s="3468"/>
      <c r="M380" s="3468"/>
      <c r="N380" s="3427" t="s">
        <v>3689</v>
      </c>
      <c r="O380" s="3427"/>
      <c r="AE380" s="50"/>
      <c r="AF380" s="50"/>
    </row>
    <row r="381" spans="1:32" s="42" customFormat="1" ht="11.25" customHeight="1">
      <c r="A381" s="1476"/>
      <c r="B381" s="40" t="s">
        <v>1695</v>
      </c>
      <c r="C381" s="856" t="s">
        <v>3688</v>
      </c>
      <c r="E381" s="133"/>
      <c r="F381" s="133"/>
      <c r="G381" s="133"/>
      <c r="H381" s="133"/>
      <c r="I381" s="455" t="s">
        <v>1695</v>
      </c>
      <c r="J381" s="3652"/>
      <c r="K381" s="3653"/>
      <c r="L381" s="3425"/>
      <c r="M381" s="3426"/>
      <c r="N381" s="1056" t="str">
        <f>IF(J381="","",(J381-J373)/J381)</f>
        <v/>
      </c>
      <c r="O381" s="1057" t="str">
        <f>IF(L381="","",(L381-L373)/L381)</f>
        <v/>
      </c>
      <c r="P381" s="2264"/>
      <c r="Q381" s="1553"/>
      <c r="AE381" s="50"/>
      <c r="AF381" s="50"/>
    </row>
    <row r="382" spans="1:32" s="42" customFormat="1" ht="11.25" customHeight="1">
      <c r="A382" s="1476"/>
      <c r="B382" s="40" t="s">
        <v>1696</v>
      </c>
      <c r="C382" s="52" t="s">
        <v>3690</v>
      </c>
      <c r="E382" s="133"/>
      <c r="F382" s="133"/>
      <c r="G382" s="133"/>
      <c r="H382" s="133"/>
      <c r="N382" s="133"/>
      <c r="O382" s="455" t="s">
        <v>1696</v>
      </c>
      <c r="P382" s="2276"/>
      <c r="Q382" s="2631"/>
      <c r="AE382" s="50"/>
      <c r="AF382" s="50"/>
    </row>
    <row r="383" spans="1:32" s="42" customFormat="1" ht="11.25" customHeight="1">
      <c r="B383" s="40" t="s">
        <v>2305</v>
      </c>
      <c r="C383" s="52" t="s">
        <v>3692</v>
      </c>
      <c r="E383" s="133"/>
      <c r="F383" s="133"/>
      <c r="G383" s="133"/>
      <c r="H383" s="133"/>
      <c r="M383" s="133"/>
      <c r="N383" s="133"/>
      <c r="O383" s="455" t="s">
        <v>2305</v>
      </c>
      <c r="P383" s="2258"/>
      <c r="Q383" s="520"/>
      <c r="AE383" s="50"/>
      <c r="AF383" s="50"/>
    </row>
    <row r="384" spans="1:32" ht="10.5" customHeight="1">
      <c r="B384" s="140" t="s">
        <v>3566</v>
      </c>
      <c r="D384" s="140"/>
      <c r="E384" s="140"/>
      <c r="F384" s="140"/>
      <c r="G384" s="140"/>
      <c r="H384" s="40"/>
      <c r="I384" s="2399"/>
      <c r="J384" s="2399"/>
      <c r="K384" s="2399"/>
      <c r="L384" s="2375"/>
      <c r="M384" s="2375"/>
      <c r="N384" s="2375"/>
      <c r="O384" s="2375"/>
      <c r="P384" s="2375"/>
      <c r="Q384" s="855"/>
    </row>
    <row r="385" spans="1:31" ht="31.5" customHeight="1">
      <c r="A385" s="3439" t="s">
        <v>7057</v>
      </c>
      <c r="B385" s="3440"/>
      <c r="C385" s="3440"/>
      <c r="D385" s="3440"/>
      <c r="E385" s="3440"/>
      <c r="F385" s="3440"/>
      <c r="G385" s="3440"/>
      <c r="H385" s="3440"/>
      <c r="I385" s="3440"/>
      <c r="J385" s="3440"/>
      <c r="K385" s="3440"/>
      <c r="L385" s="3440"/>
      <c r="M385" s="3440"/>
      <c r="N385" s="3440"/>
      <c r="O385" s="3440"/>
      <c r="P385" s="3440"/>
      <c r="Q385" s="3441"/>
      <c r="U385" s="135"/>
      <c r="V385" s="135"/>
      <c r="W385" s="135"/>
      <c r="X385" s="135"/>
      <c r="Y385" s="135"/>
      <c r="Z385" s="135"/>
      <c r="AA385" s="135"/>
      <c r="AB385" s="135"/>
      <c r="AC385" s="135"/>
      <c r="AD385" s="135"/>
      <c r="AE385" s="457"/>
    </row>
    <row r="386" spans="1:31" ht="11.25" customHeight="1">
      <c r="B386" s="136" t="s">
        <v>1820</v>
      </c>
      <c r="C386" s="137"/>
      <c r="D386" s="2381"/>
      <c r="E386" s="2381"/>
      <c r="F386" s="2381"/>
      <c r="G386" s="2381"/>
      <c r="H386" s="2381"/>
      <c r="I386" s="2381"/>
      <c r="J386" s="2381"/>
      <c r="K386" s="2381"/>
      <c r="L386" s="2381"/>
      <c r="M386" s="2381"/>
      <c r="N386" s="2381"/>
      <c r="O386" s="2381"/>
      <c r="P386" s="2381"/>
      <c r="Q386" s="2381"/>
    </row>
    <row r="387" spans="1:31" ht="23.25" customHeight="1">
      <c r="A387" s="3433"/>
      <c r="B387" s="3434"/>
      <c r="C387" s="3434"/>
      <c r="D387" s="3434"/>
      <c r="E387" s="3434"/>
      <c r="F387" s="3434"/>
      <c r="G387" s="3434"/>
      <c r="H387" s="3434"/>
      <c r="I387" s="3434"/>
      <c r="J387" s="3434"/>
      <c r="K387" s="3434"/>
      <c r="L387" s="3434"/>
      <c r="M387" s="3434"/>
      <c r="N387" s="3434"/>
      <c r="O387" s="3434"/>
      <c r="P387" s="3434"/>
      <c r="Q387" s="3435"/>
    </row>
    <row r="388" spans="1:31" ht="3.6" customHeight="1">
      <c r="A388" s="2375"/>
      <c r="B388" s="2399"/>
      <c r="C388" s="2381"/>
      <c r="D388" s="2381"/>
      <c r="E388" s="2381"/>
      <c r="F388" s="2381"/>
      <c r="G388" s="2381"/>
      <c r="H388" s="2381"/>
      <c r="I388" s="2381"/>
      <c r="J388" s="2381"/>
      <c r="K388" s="2381"/>
      <c r="L388" s="2381"/>
      <c r="M388" s="2381"/>
      <c r="Q388" s="855"/>
    </row>
    <row r="389" spans="1:31" ht="3" customHeight="1">
      <c r="A389" s="2375"/>
      <c r="B389" s="2399"/>
      <c r="C389" s="2381"/>
      <c r="D389" s="2381"/>
      <c r="E389" s="2381"/>
      <c r="F389" s="2381"/>
      <c r="G389" s="2381"/>
      <c r="H389" s="2381"/>
      <c r="I389" s="2381"/>
      <c r="J389" s="2381"/>
      <c r="K389" s="2381"/>
      <c r="L389" s="2381"/>
      <c r="M389" s="2381"/>
      <c r="Q389" s="855"/>
    </row>
    <row r="390" spans="1:31" ht="14.1" customHeight="1">
      <c r="A390" s="2373" t="s">
        <v>3792</v>
      </c>
      <c r="B390" s="4" t="s">
        <v>2608</v>
      </c>
      <c r="C390" s="4"/>
      <c r="D390" s="4"/>
      <c r="E390" s="4"/>
      <c r="F390" s="4"/>
      <c r="G390" s="4"/>
      <c r="H390" s="2381"/>
      <c r="I390" s="2381"/>
      <c r="J390" s="2381"/>
      <c r="O390" s="131" t="s">
        <v>1821</v>
      </c>
      <c r="P390" s="3442"/>
      <c r="Q390" s="3429"/>
    </row>
    <row r="391" spans="1:31" ht="11.4" customHeight="1">
      <c r="A391" s="47" t="s">
        <v>1936</v>
      </c>
      <c r="B391" s="117" t="s">
        <v>1012</v>
      </c>
      <c r="E391" s="3507"/>
      <c r="F391" s="3508"/>
      <c r="G391" s="3508"/>
      <c r="H391" s="3508"/>
      <c r="I391" s="3509"/>
      <c r="J391" s="3510" t="s">
        <v>2595</v>
      </c>
      <c r="K391" s="3511"/>
      <c r="L391" s="3512"/>
      <c r="M391" s="3507"/>
      <c r="N391" s="3508"/>
      <c r="O391" s="3508"/>
      <c r="P391" s="3508"/>
      <c r="Q391" s="3509"/>
    </row>
    <row r="392" spans="1:31" ht="11.4" customHeight="1">
      <c r="A392" s="47" t="s">
        <v>1938</v>
      </c>
      <c r="B392" s="52" t="s">
        <v>3347</v>
      </c>
      <c r="D392" s="52"/>
      <c r="E392" s="52"/>
      <c r="F392" s="52"/>
      <c r="G392" s="52"/>
      <c r="H392" s="52"/>
      <c r="I392" s="52"/>
      <c r="J392" s="52"/>
      <c r="K392" s="52"/>
      <c r="L392" s="856"/>
      <c r="M392" s="856"/>
      <c r="O392" s="455" t="s">
        <v>1938</v>
      </c>
      <c r="P392" s="2256"/>
      <c r="Q392" s="518"/>
    </row>
    <row r="393" spans="1:31" ht="22.5" customHeight="1">
      <c r="A393" s="141" t="s">
        <v>731</v>
      </c>
      <c r="B393" s="3443" t="s">
        <v>3356</v>
      </c>
      <c r="C393" s="3443"/>
      <c r="D393" s="3443"/>
      <c r="E393" s="3443"/>
      <c r="F393" s="3443"/>
      <c r="G393" s="3443"/>
      <c r="H393" s="3443"/>
      <c r="I393" s="3443"/>
      <c r="J393" s="3443"/>
      <c r="K393" s="3443"/>
      <c r="L393" s="3443"/>
      <c r="M393" s="3443"/>
      <c r="N393" s="3443"/>
      <c r="O393" s="160" t="s">
        <v>731</v>
      </c>
      <c r="P393" s="2387"/>
      <c r="Q393" s="2395"/>
    </row>
    <row r="394" spans="1:31">
      <c r="A394" s="47" t="s">
        <v>2065</v>
      </c>
      <c r="B394" s="55" t="s">
        <v>3519</v>
      </c>
      <c r="G394" s="2394"/>
      <c r="H394" s="2394"/>
      <c r="I394" s="2394"/>
      <c r="J394" s="856" t="s">
        <v>3520</v>
      </c>
      <c r="L394" s="2394"/>
      <c r="M394" s="3479">
        <f>'Part III-Sources of Funds'!H5</f>
        <v>0</v>
      </c>
      <c r="N394" s="3480"/>
      <c r="O394" s="455" t="s">
        <v>2065</v>
      </c>
      <c r="P394" s="2258"/>
      <c r="Q394" s="520"/>
    </row>
    <row r="395" spans="1:31" ht="11.25" customHeight="1">
      <c r="B395" s="140" t="s">
        <v>3566</v>
      </c>
      <c r="D395" s="140"/>
      <c r="E395" s="140"/>
      <c r="F395" s="140"/>
      <c r="G395" s="140"/>
      <c r="H395" s="40"/>
      <c r="I395" s="2399"/>
      <c r="J395" s="2399"/>
      <c r="K395" s="2399"/>
      <c r="L395" s="2375"/>
      <c r="M395" s="2375"/>
      <c r="N395" s="2375"/>
      <c r="O395" s="2375"/>
      <c r="P395" s="2375"/>
      <c r="Q395" s="855"/>
    </row>
    <row r="396" spans="1:31" ht="11.4" customHeight="1">
      <c r="A396" s="3439" t="s">
        <v>7058</v>
      </c>
      <c r="B396" s="3440"/>
      <c r="C396" s="3440"/>
      <c r="D396" s="3440"/>
      <c r="E396" s="3440"/>
      <c r="F396" s="3440"/>
      <c r="G396" s="3440"/>
      <c r="H396" s="3440"/>
      <c r="I396" s="3440"/>
      <c r="J396" s="3440"/>
      <c r="K396" s="3440"/>
      <c r="L396" s="3440"/>
      <c r="M396" s="3440"/>
      <c r="N396" s="3440"/>
      <c r="O396" s="3440"/>
      <c r="P396" s="3440"/>
      <c r="Q396" s="3441"/>
      <c r="U396" s="135"/>
      <c r="V396" s="135"/>
      <c r="W396" s="135"/>
      <c r="X396" s="135"/>
      <c r="Y396" s="135"/>
      <c r="Z396" s="135"/>
      <c r="AA396" s="135"/>
      <c r="AB396" s="135"/>
      <c r="AC396" s="135"/>
      <c r="AD396" s="135"/>
      <c r="AE396" s="457"/>
    </row>
    <row r="397" spans="1:31" ht="11.25" customHeight="1">
      <c r="B397" s="136" t="s">
        <v>1820</v>
      </c>
      <c r="C397" s="137"/>
      <c r="D397" s="2381"/>
      <c r="E397" s="2381"/>
      <c r="F397" s="2381"/>
      <c r="G397" s="2381"/>
      <c r="H397" s="2381"/>
      <c r="I397" s="2381"/>
      <c r="J397" s="2381"/>
      <c r="K397" s="2381"/>
      <c r="L397" s="2381"/>
      <c r="M397" s="2381"/>
      <c r="N397" s="2381"/>
      <c r="O397" s="2381"/>
      <c r="P397" s="2381"/>
      <c r="Q397" s="2381"/>
    </row>
    <row r="398" spans="1:31" ht="11.4" customHeight="1">
      <c r="A398" s="3433"/>
      <c r="B398" s="3434"/>
      <c r="C398" s="3434"/>
      <c r="D398" s="3434"/>
      <c r="E398" s="3434"/>
      <c r="F398" s="3434"/>
      <c r="G398" s="3434"/>
      <c r="H398" s="3434"/>
      <c r="I398" s="3434"/>
      <c r="J398" s="3434"/>
      <c r="K398" s="3434"/>
      <c r="L398" s="3434"/>
      <c r="M398" s="3434"/>
      <c r="N398" s="3434"/>
      <c r="O398" s="3434"/>
      <c r="P398" s="3434"/>
      <c r="Q398" s="3435"/>
    </row>
    <row r="399" spans="1:31" ht="3.6" customHeight="1">
      <c r="A399" s="2375"/>
      <c r="B399" s="2399"/>
      <c r="C399" s="2381"/>
      <c r="D399" s="2381"/>
      <c r="E399" s="2381"/>
      <c r="F399" s="2381"/>
      <c r="G399" s="2381"/>
      <c r="H399" s="2381"/>
      <c r="I399" s="2381"/>
      <c r="J399" s="2381"/>
      <c r="K399" s="2381"/>
      <c r="L399" s="2381"/>
      <c r="M399" s="2381"/>
      <c r="Q399" s="855"/>
    </row>
    <row r="400" spans="1:31" ht="14.1" customHeight="1">
      <c r="A400" s="2373" t="s">
        <v>3793</v>
      </c>
      <c r="B400" s="4" t="s">
        <v>2593</v>
      </c>
      <c r="C400" s="4"/>
      <c r="D400" s="4"/>
      <c r="E400" s="2381"/>
      <c r="G400" s="139" t="s">
        <v>683</v>
      </c>
      <c r="H400" s="2381"/>
      <c r="I400" s="2381"/>
      <c r="J400" s="2381"/>
      <c r="K400" s="2381"/>
      <c r="L400" s="2381"/>
      <c r="M400" s="2381"/>
      <c r="O400" s="131" t="s">
        <v>1821</v>
      </c>
      <c r="P400" s="3442"/>
      <c r="Q400" s="3470"/>
    </row>
    <row r="401" spans="1:31" ht="12" customHeight="1">
      <c r="A401" s="47" t="s">
        <v>1936</v>
      </c>
      <c r="B401" s="52" t="s">
        <v>2597</v>
      </c>
      <c r="D401" s="857"/>
      <c r="E401" s="857"/>
      <c r="O401" s="455" t="s">
        <v>1936</v>
      </c>
      <c r="P401" s="2256"/>
      <c r="Q401" s="518"/>
    </row>
    <row r="402" spans="1:31" ht="12" customHeight="1">
      <c r="A402" s="47" t="s">
        <v>1938</v>
      </c>
      <c r="B402" s="52" t="s">
        <v>3443</v>
      </c>
      <c r="D402" s="857"/>
      <c r="E402" s="857"/>
      <c r="O402" s="455" t="s">
        <v>1938</v>
      </c>
      <c r="P402" s="2257"/>
      <c r="Q402" s="519"/>
    </row>
    <row r="403" spans="1:31" ht="12" customHeight="1">
      <c r="A403" s="47" t="s">
        <v>731</v>
      </c>
      <c r="B403" s="52" t="s">
        <v>4712</v>
      </c>
      <c r="D403" s="857"/>
      <c r="E403" s="857"/>
      <c r="O403" s="455" t="s">
        <v>731</v>
      </c>
      <c r="P403" s="2257" t="s">
        <v>2886</v>
      </c>
      <c r="Q403" s="519"/>
    </row>
    <row r="404" spans="1:31" ht="12" customHeight="1">
      <c r="A404" s="47" t="s">
        <v>2065</v>
      </c>
      <c r="B404" s="52" t="s">
        <v>3444</v>
      </c>
      <c r="E404" s="139"/>
      <c r="O404" s="455" t="s">
        <v>2065</v>
      </c>
      <c r="P404" s="2257"/>
      <c r="Q404" s="519"/>
    </row>
    <row r="405" spans="1:31" ht="12" customHeight="1">
      <c r="A405" s="47" t="s">
        <v>1692</v>
      </c>
      <c r="B405" s="52" t="s">
        <v>2031</v>
      </c>
      <c r="E405" s="139"/>
      <c r="G405" s="455" t="s">
        <v>1692</v>
      </c>
      <c r="H405" s="3471"/>
      <c r="I405" s="3472"/>
      <c r="J405" s="3472"/>
      <c r="K405" s="3472"/>
      <c r="L405" s="3472"/>
      <c r="M405" s="3472"/>
      <c r="N405" s="3472"/>
      <c r="O405" s="3473"/>
      <c r="P405" s="2258"/>
      <c r="Q405" s="520"/>
    </row>
    <row r="406" spans="1:31" ht="11.25" customHeight="1">
      <c r="B406" s="140" t="s">
        <v>3566</v>
      </c>
      <c r="D406" s="140"/>
      <c r="E406" s="140"/>
      <c r="F406" s="140"/>
      <c r="G406" s="140"/>
      <c r="H406" s="40"/>
      <c r="I406" s="2399"/>
      <c r="J406" s="2399"/>
      <c r="K406" s="2399"/>
      <c r="L406" s="2375"/>
      <c r="M406" s="2375"/>
      <c r="N406" s="2375"/>
      <c r="O406" s="2375"/>
      <c r="P406" s="2375"/>
      <c r="Q406" s="855"/>
    </row>
    <row r="407" spans="1:31" ht="11.4" customHeight="1">
      <c r="A407" s="3439" t="s">
        <v>7168</v>
      </c>
      <c r="B407" s="3440"/>
      <c r="C407" s="3440"/>
      <c r="D407" s="3440"/>
      <c r="E407" s="3440"/>
      <c r="F407" s="3440"/>
      <c r="G407" s="3440"/>
      <c r="H407" s="3440"/>
      <c r="I407" s="3440"/>
      <c r="J407" s="3440"/>
      <c r="K407" s="3440"/>
      <c r="L407" s="3440"/>
      <c r="M407" s="3440"/>
      <c r="N407" s="3440"/>
      <c r="O407" s="3440"/>
      <c r="P407" s="3440"/>
      <c r="Q407" s="3441"/>
      <c r="U407" s="135"/>
      <c r="V407" s="135"/>
      <c r="W407" s="135"/>
      <c r="X407" s="135"/>
      <c r="Y407" s="135"/>
      <c r="Z407" s="135"/>
      <c r="AA407" s="135"/>
      <c r="AB407" s="135"/>
      <c r="AC407" s="135"/>
      <c r="AD407" s="135"/>
      <c r="AE407" s="457"/>
    </row>
    <row r="408" spans="1:31" ht="11.25" customHeight="1">
      <c r="B408" s="136" t="s">
        <v>1820</v>
      </c>
      <c r="C408" s="137"/>
      <c r="D408" s="2381"/>
      <c r="E408" s="2381"/>
      <c r="F408" s="2381"/>
      <c r="G408" s="2381"/>
      <c r="H408" s="2381"/>
      <c r="I408" s="2381"/>
      <c r="J408" s="2381"/>
      <c r="K408" s="2381"/>
      <c r="L408" s="2381"/>
      <c r="M408" s="2381"/>
      <c r="N408" s="2381"/>
      <c r="O408" s="2381"/>
      <c r="P408" s="2381"/>
      <c r="Q408" s="2381"/>
    </row>
    <row r="409" spans="1:31" ht="11.4" customHeight="1">
      <c r="A409" s="3433"/>
      <c r="B409" s="3434"/>
      <c r="C409" s="3434"/>
      <c r="D409" s="3434"/>
      <c r="E409" s="3434"/>
      <c r="F409" s="3434"/>
      <c r="G409" s="3434"/>
      <c r="H409" s="3434"/>
      <c r="I409" s="3434"/>
      <c r="J409" s="3434"/>
      <c r="K409" s="3434"/>
      <c r="L409" s="3434"/>
      <c r="M409" s="3434"/>
      <c r="N409" s="3434"/>
      <c r="O409" s="3434"/>
      <c r="P409" s="3434"/>
      <c r="Q409" s="3435"/>
    </row>
    <row r="410" spans="1:31" ht="3" customHeight="1">
      <c r="A410" s="2375"/>
      <c r="B410" s="2399"/>
      <c r="C410" s="2381"/>
      <c r="D410" s="2381"/>
      <c r="E410" s="2381"/>
      <c r="F410" s="2381"/>
      <c r="G410" s="2381"/>
      <c r="H410" s="2381"/>
      <c r="I410" s="2381"/>
      <c r="J410" s="2381"/>
      <c r="K410" s="2381"/>
      <c r="L410" s="2381"/>
      <c r="M410" s="2381"/>
      <c r="N410" s="2381"/>
      <c r="O410" s="2381"/>
      <c r="P410" s="2381"/>
      <c r="Q410" s="2375"/>
    </row>
    <row r="411" spans="1:31" ht="14.1" customHeight="1">
      <c r="A411" s="2373" t="s">
        <v>3794</v>
      </c>
      <c r="B411" s="4" t="s">
        <v>4534</v>
      </c>
      <c r="C411" s="4"/>
      <c r="D411" s="4"/>
      <c r="E411" s="4"/>
      <c r="F411" s="4"/>
      <c r="G411" s="4"/>
      <c r="H411" s="2381"/>
      <c r="I411" s="2381"/>
      <c r="J411" s="2381"/>
      <c r="K411" s="2381"/>
      <c r="L411" s="2381"/>
      <c r="M411" s="2381"/>
      <c r="O411" s="131" t="s">
        <v>1821</v>
      </c>
      <c r="P411" s="3492"/>
      <c r="Q411" s="3493"/>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2889</v>
      </c>
      <c r="Q413" s="518"/>
    </row>
    <row r="414" spans="1:31" ht="12" customHeight="1">
      <c r="C414" s="36" t="s">
        <v>4713</v>
      </c>
      <c r="D414" s="55" t="s">
        <v>4714</v>
      </c>
      <c r="E414" s="42"/>
      <c r="F414" s="42"/>
      <c r="G414" s="42"/>
      <c r="H414" s="42"/>
      <c r="I414" s="42"/>
      <c r="J414" s="42"/>
      <c r="K414" s="42"/>
      <c r="L414" s="42"/>
      <c r="M414" s="42"/>
      <c r="N414" s="42"/>
      <c r="O414" s="455" t="s">
        <v>2372</v>
      </c>
      <c r="P414" s="2257"/>
      <c r="Q414" s="519"/>
    </row>
    <row r="415" spans="1:31" ht="12" customHeight="1">
      <c r="B415" s="52"/>
      <c r="C415" s="52" t="s">
        <v>2373</v>
      </c>
      <c r="D415" s="55" t="s">
        <v>4715</v>
      </c>
      <c r="E415" s="42"/>
      <c r="F415" s="42"/>
      <c r="G415" s="42"/>
      <c r="H415" s="42"/>
      <c r="I415" s="42"/>
      <c r="J415" s="42"/>
      <c r="K415" s="42"/>
      <c r="L415" s="42"/>
      <c r="M415" s="42"/>
      <c r="N415" s="42"/>
      <c r="O415" s="64" t="s">
        <v>2373</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3357</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57"/>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3443" t="s">
        <v>2719</v>
      </c>
      <c r="D420" s="3443"/>
      <c r="E420" s="3443"/>
      <c r="F420" s="3443"/>
      <c r="G420" s="134" t="s">
        <v>4542</v>
      </c>
      <c r="J420" s="2277"/>
      <c r="K420" s="2632"/>
      <c r="M420" s="134" t="s">
        <v>4543</v>
      </c>
      <c r="P420" s="2278"/>
      <c r="Q420" s="2633"/>
    </row>
    <row r="421" spans="1:32" ht="12" customHeight="1">
      <c r="A421" s="47"/>
      <c r="C421" s="3443"/>
      <c r="D421" s="3443"/>
      <c r="E421" s="3443"/>
      <c r="F421" s="3443"/>
      <c r="G421" s="134" t="s">
        <v>4544</v>
      </c>
      <c r="J421" s="2278"/>
      <c r="K421" s="2633"/>
      <c r="M421" s="134" t="s">
        <v>4545</v>
      </c>
      <c r="P421" s="2279"/>
      <c r="Q421" s="2634"/>
    </row>
    <row r="422" spans="1:32" ht="12" customHeight="1">
      <c r="A422" s="47"/>
      <c r="C422" s="3443"/>
      <c r="D422" s="3443"/>
      <c r="E422" s="3443"/>
      <c r="F422" s="3443"/>
      <c r="G422" s="134" t="s">
        <v>4546</v>
      </c>
      <c r="J422" s="2279"/>
      <c r="K422" s="2634"/>
      <c r="L422" s="856"/>
      <c r="M422" s="42"/>
      <c r="N422" s="455"/>
    </row>
    <row r="423" spans="1:32" ht="12" customHeight="1">
      <c r="A423" s="47"/>
      <c r="B423" s="1593" t="s">
        <v>1198</v>
      </c>
      <c r="C423" s="856" t="s">
        <v>4368</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3485"/>
      <c r="N425" s="3486"/>
      <c r="O425" s="3486"/>
      <c r="P425" s="3486"/>
      <c r="Q425" s="3487"/>
    </row>
    <row r="426" spans="1:32" ht="12" customHeight="1">
      <c r="A426" s="42"/>
      <c r="G426" s="427" t="s">
        <v>4537</v>
      </c>
      <c r="H426" s="856"/>
      <c r="J426" s="2258"/>
      <c r="K426" s="520"/>
      <c r="M426" s="3488"/>
      <c r="N426" s="3489"/>
      <c r="O426" s="3489"/>
      <c r="P426" s="3489"/>
      <c r="Q426" s="3490"/>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2395</v>
      </c>
      <c r="E428" s="427" t="s">
        <v>3645</v>
      </c>
      <c r="F428" s="856"/>
      <c r="G428" s="3501"/>
      <c r="H428" s="3502"/>
      <c r="I428" s="3502"/>
      <c r="J428" s="3502"/>
      <c r="K428" s="3503"/>
      <c r="L428" s="1438"/>
    </row>
    <row r="429" spans="1:32" ht="12" customHeight="1">
      <c r="B429" s="147"/>
      <c r="D429" s="1438" t="s">
        <v>4538</v>
      </c>
      <c r="E429" s="427" t="s">
        <v>4539</v>
      </c>
      <c r="F429" s="1438"/>
      <c r="G429" s="3504" t="s">
        <v>3522</v>
      </c>
      <c r="H429" s="3505"/>
      <c r="I429" s="3506"/>
      <c r="J429" s="427" t="s">
        <v>4276</v>
      </c>
      <c r="K429" s="147"/>
      <c r="M429" s="3501"/>
      <c r="N429" s="3502"/>
      <c r="O429" s="3502"/>
      <c r="P429" s="3502"/>
      <c r="Q429" s="3503"/>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4" customHeight="1">
      <c r="B431" s="3474"/>
      <c r="C431" s="3475"/>
      <c r="D431" s="3475"/>
      <c r="E431" s="3475"/>
      <c r="F431" s="3475"/>
      <c r="G431" s="3475"/>
      <c r="H431" s="3475"/>
      <c r="I431" s="3475"/>
      <c r="J431" s="3475"/>
      <c r="K431" s="3475"/>
      <c r="L431" s="3475"/>
      <c r="M431" s="3475"/>
      <c r="N431" s="3475"/>
      <c r="O431" s="3475"/>
      <c r="P431" s="3475"/>
      <c r="Q431" s="3476"/>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91" t="s">
        <v>4716</v>
      </c>
      <c r="C433" s="3443"/>
      <c r="D433" s="3443"/>
      <c r="E433" s="3443"/>
      <c r="F433" s="3443"/>
      <c r="G433" s="3443"/>
      <c r="H433" s="3443"/>
      <c r="I433" s="3443"/>
      <c r="J433" s="3443"/>
      <c r="K433" s="3443"/>
      <c r="L433" s="3443"/>
      <c r="M433" s="3443"/>
      <c r="N433" s="3443"/>
      <c r="T433" s="459"/>
      <c r="AE433" s="459"/>
      <c r="AF433" s="459"/>
    </row>
    <row r="434" spans="1:32" s="147" customFormat="1" ht="12" customHeight="1">
      <c r="A434" s="141"/>
      <c r="B434" s="842" t="s">
        <v>4549</v>
      </c>
      <c r="C434" s="2381"/>
      <c r="D434" s="2381"/>
      <c r="E434" s="2381"/>
      <c r="F434" s="2381"/>
      <c r="G434" s="2381"/>
      <c r="H434" s="2381"/>
      <c r="I434" s="2381"/>
      <c r="J434" s="2381"/>
      <c r="K434" s="2381"/>
      <c r="L434" s="2381"/>
      <c r="M434" s="2381"/>
      <c r="N434" s="2381"/>
      <c r="T434" s="459"/>
      <c r="AE434" s="459"/>
      <c r="AF434" s="459"/>
    </row>
    <row r="435" spans="1:32" s="147" customFormat="1" ht="48" customHeight="1">
      <c r="B435" s="3443" t="s">
        <v>4550</v>
      </c>
      <c r="C435" s="3443"/>
      <c r="D435" s="3443"/>
      <c r="E435" s="3443"/>
      <c r="F435" s="3443"/>
      <c r="G435" s="3443"/>
      <c r="H435" s="3443"/>
      <c r="I435" s="3443"/>
      <c r="J435" s="3443"/>
      <c r="K435" s="3443"/>
      <c r="L435" s="3443"/>
      <c r="M435" s="3443"/>
      <c r="N435" s="3443"/>
      <c r="O435" s="160" t="s">
        <v>1938</v>
      </c>
      <c r="P435" s="2280"/>
      <c r="Q435" s="2635"/>
      <c r="T435" s="459"/>
      <c r="AE435" s="459"/>
      <c r="AF435" s="459"/>
    </row>
    <row r="436" spans="1:32" ht="12" customHeight="1">
      <c r="B436" s="140" t="s">
        <v>3566</v>
      </c>
      <c r="D436" s="140"/>
      <c r="E436" s="140"/>
      <c r="F436" s="140"/>
      <c r="G436" s="140"/>
      <c r="H436" s="40"/>
      <c r="I436" s="2399"/>
      <c r="J436" s="2399"/>
      <c r="K436" s="2399"/>
    </row>
    <row r="437" spans="1:32" ht="33.6" customHeight="1">
      <c r="A437" s="3439" t="s">
        <v>7059</v>
      </c>
      <c r="B437" s="3440"/>
      <c r="C437" s="3440"/>
      <c r="D437" s="3440"/>
      <c r="E437" s="3440"/>
      <c r="F437" s="3440"/>
      <c r="G437" s="3440"/>
      <c r="H437" s="3440"/>
      <c r="I437" s="3440"/>
      <c r="J437" s="3440"/>
      <c r="K437" s="3440"/>
      <c r="L437" s="3440"/>
      <c r="M437" s="3440"/>
      <c r="N437" s="3440"/>
      <c r="O437" s="3440"/>
      <c r="P437" s="3440"/>
      <c r="Q437" s="3441"/>
      <c r="U437" s="135"/>
      <c r="V437" s="135"/>
      <c r="W437" s="135"/>
      <c r="X437" s="135"/>
      <c r="Y437" s="135"/>
      <c r="Z437" s="135"/>
      <c r="AA437" s="135"/>
      <c r="AB437" s="135"/>
      <c r="AC437" s="135"/>
      <c r="AD437" s="135"/>
      <c r="AE437" s="457"/>
    </row>
    <row r="438" spans="1:32" ht="12" customHeight="1">
      <c r="B438" s="136" t="s">
        <v>1820</v>
      </c>
      <c r="C438" s="137"/>
      <c r="D438" s="2381"/>
      <c r="E438" s="2381"/>
      <c r="F438" s="2381"/>
      <c r="G438" s="2381"/>
      <c r="H438" s="2381"/>
      <c r="I438" s="2381"/>
      <c r="J438" s="2381"/>
      <c r="K438" s="2381"/>
      <c r="L438" s="2381"/>
      <c r="M438" s="2381"/>
      <c r="N438" s="2381"/>
      <c r="O438" s="2381"/>
      <c r="P438" s="2381"/>
      <c r="Q438" s="2381"/>
    </row>
    <row r="439" spans="1:32" ht="33.6" customHeight="1">
      <c r="A439" s="3433"/>
      <c r="B439" s="3434"/>
      <c r="C439" s="3434"/>
      <c r="D439" s="3434"/>
      <c r="E439" s="3434"/>
      <c r="F439" s="3434"/>
      <c r="G439" s="3434"/>
      <c r="H439" s="3434"/>
      <c r="I439" s="3434"/>
      <c r="J439" s="3434"/>
      <c r="K439" s="3434"/>
      <c r="L439" s="3434"/>
      <c r="M439" s="3434"/>
      <c r="N439" s="3434"/>
      <c r="O439" s="3434"/>
      <c r="P439" s="3434"/>
      <c r="Q439" s="3435"/>
    </row>
    <row r="440" spans="1:32" ht="3" customHeight="1">
      <c r="A440" s="2375"/>
      <c r="B440" s="2399"/>
      <c r="C440" s="2381"/>
      <c r="D440" s="2381"/>
      <c r="E440" s="2381"/>
      <c r="F440" s="2381"/>
      <c r="G440" s="2381"/>
      <c r="H440" s="2381"/>
      <c r="I440" s="2381"/>
      <c r="J440" s="2381"/>
      <c r="K440" s="2381"/>
      <c r="L440" s="2381"/>
      <c r="M440" s="2381"/>
      <c r="Q440" s="855"/>
    </row>
    <row r="441" spans="1:32" ht="14.1" customHeight="1">
      <c r="A441" s="2373" t="s">
        <v>3795</v>
      </c>
      <c r="B441" s="4" t="s">
        <v>2720</v>
      </c>
      <c r="C441" s="4"/>
      <c r="D441" s="86"/>
      <c r="E441" s="2381"/>
      <c r="F441" s="2381"/>
      <c r="G441" s="2381"/>
      <c r="H441" s="2381"/>
      <c r="O441" s="131" t="s">
        <v>1821</v>
      </c>
      <c r="P441" s="3442"/>
      <c r="Q441" s="3429"/>
    </row>
    <row r="442" spans="1:32" ht="14.1" customHeight="1">
      <c r="B442" s="86" t="s">
        <v>4460</v>
      </c>
      <c r="C442" s="4"/>
      <c r="D442" s="86"/>
      <c r="E442" s="2381"/>
      <c r="F442" s="2381"/>
      <c r="G442" s="2381"/>
      <c r="H442" s="2381"/>
    </row>
    <row r="443" spans="1:32" s="132" customFormat="1" ht="21.75" customHeight="1">
      <c r="A443" s="141" t="s">
        <v>1936</v>
      </c>
      <c r="B443" s="3451" t="s">
        <v>3694</v>
      </c>
      <c r="C443" s="3451"/>
      <c r="D443" s="3451"/>
      <c r="E443" s="3451"/>
      <c r="F443" s="3451"/>
      <c r="G443" s="3451"/>
      <c r="H443" s="3451"/>
      <c r="I443" s="3451"/>
      <c r="J443" s="3451"/>
      <c r="K443" s="3451"/>
      <c r="L443" s="3451"/>
      <c r="M443" s="3451"/>
      <c r="N443" s="3451"/>
      <c r="O443" s="160" t="s">
        <v>1936</v>
      </c>
      <c r="P443" s="2389" t="s">
        <v>7038</v>
      </c>
      <c r="Q443" s="1088"/>
      <c r="AE443" s="458"/>
      <c r="AF443" s="458"/>
    </row>
    <row r="444" spans="1:32" s="132" customFormat="1" ht="22.5" customHeight="1">
      <c r="A444" s="141" t="s">
        <v>1938</v>
      </c>
      <c r="B444" s="3451" t="s">
        <v>3693</v>
      </c>
      <c r="C444" s="3451"/>
      <c r="D444" s="3451"/>
      <c r="E444" s="3451"/>
      <c r="F444" s="3451"/>
      <c r="G444" s="3451"/>
      <c r="H444" s="3451"/>
      <c r="I444" s="3451"/>
      <c r="J444" s="3451"/>
      <c r="K444" s="3451"/>
      <c r="L444" s="3451"/>
      <c r="M444" s="3451"/>
      <c r="N444" s="3451"/>
      <c r="O444" s="160" t="s">
        <v>1938</v>
      </c>
      <c r="P444" s="2387" t="s">
        <v>7038</v>
      </c>
      <c r="Q444" s="2395"/>
      <c r="AE444" s="458"/>
      <c r="AF444" s="458"/>
    </row>
    <row r="445" spans="1:32" s="132" customFormat="1" ht="22.5" customHeight="1">
      <c r="B445" s="1488" t="s">
        <v>1694</v>
      </c>
      <c r="C445" s="3451" t="s">
        <v>4416</v>
      </c>
      <c r="D445" s="3451"/>
      <c r="E445" s="3451"/>
      <c r="F445" s="3451"/>
      <c r="G445" s="3451"/>
      <c r="H445" s="3451"/>
      <c r="I445" s="3451"/>
      <c r="J445" s="3451"/>
      <c r="K445" s="3451"/>
      <c r="L445" s="3451"/>
      <c r="M445" s="3451"/>
      <c r="N445" s="3451"/>
      <c r="O445" s="160" t="s">
        <v>1694</v>
      </c>
      <c r="P445" s="2387" t="s">
        <v>7038</v>
      </c>
      <c r="Q445" s="2395"/>
      <c r="AE445" s="458"/>
      <c r="AF445" s="458"/>
    </row>
    <row r="446" spans="1:32" s="42" customFormat="1" ht="12" customHeight="1">
      <c r="B446" s="1488" t="s">
        <v>1695</v>
      </c>
      <c r="C446" s="36" t="s">
        <v>4417</v>
      </c>
      <c r="D446" s="1065"/>
      <c r="E446" s="1065"/>
      <c r="F446" s="1065"/>
      <c r="G446" s="1065"/>
      <c r="H446" s="1065"/>
      <c r="I446" s="1065"/>
      <c r="J446" s="1065"/>
      <c r="K446" s="1065"/>
      <c r="L446" s="1065"/>
      <c r="M446" s="1065"/>
      <c r="N446" s="1065"/>
      <c r="O446" s="455" t="s">
        <v>1695</v>
      </c>
      <c r="P446" s="2387" t="s">
        <v>7038</v>
      </c>
      <c r="Q446" s="519"/>
      <c r="AE446" s="50"/>
      <c r="AF446" s="50"/>
    </row>
    <row r="447" spans="1:32" s="132" customFormat="1" ht="33" customHeight="1">
      <c r="B447" s="468" t="s">
        <v>1696</v>
      </c>
      <c r="C447" s="3451" t="s">
        <v>4418</v>
      </c>
      <c r="D447" s="3451"/>
      <c r="E447" s="3451"/>
      <c r="F447" s="3451"/>
      <c r="G447" s="3451"/>
      <c r="H447" s="3451"/>
      <c r="I447" s="3451"/>
      <c r="J447" s="3451"/>
      <c r="K447" s="3451"/>
      <c r="L447" s="3451"/>
      <c r="M447" s="3451"/>
      <c r="N447" s="3451"/>
      <c r="O447" s="160" t="s">
        <v>1696</v>
      </c>
      <c r="P447" s="2387" t="s">
        <v>7038</v>
      </c>
      <c r="Q447" s="2395"/>
      <c r="AE447" s="458"/>
      <c r="AF447" s="458"/>
    </row>
    <row r="448" spans="1:32" s="132" customFormat="1" ht="22.5" customHeight="1">
      <c r="B448" s="468" t="s">
        <v>2305</v>
      </c>
      <c r="C448" s="3451" t="s">
        <v>4419</v>
      </c>
      <c r="D448" s="3451"/>
      <c r="E448" s="3451"/>
      <c r="F448" s="3451"/>
      <c r="G448" s="3451"/>
      <c r="H448" s="3451"/>
      <c r="I448" s="3451"/>
      <c r="J448" s="3451"/>
      <c r="K448" s="3451"/>
      <c r="L448" s="3451"/>
      <c r="M448" s="3451"/>
      <c r="N448" s="3451"/>
      <c r="O448" s="160" t="s">
        <v>2305</v>
      </c>
      <c r="P448" s="2387" t="s">
        <v>7038</v>
      </c>
      <c r="Q448" s="2395"/>
      <c r="AE448" s="458"/>
      <c r="AF448" s="458"/>
    </row>
    <row r="449" spans="1:32" s="132" customFormat="1" ht="22.5" customHeight="1">
      <c r="A449" s="141" t="s">
        <v>731</v>
      </c>
      <c r="B449" s="3451" t="s">
        <v>3695</v>
      </c>
      <c r="C449" s="3451"/>
      <c r="D449" s="3451"/>
      <c r="E449" s="3451"/>
      <c r="F449" s="3451"/>
      <c r="G449" s="3451"/>
      <c r="H449" s="3451"/>
      <c r="I449" s="3451"/>
      <c r="J449" s="3451"/>
      <c r="K449" s="3451"/>
      <c r="L449" s="3451"/>
      <c r="M449" s="3451"/>
      <c r="N449" s="3451"/>
      <c r="O449" s="160" t="s">
        <v>731</v>
      </c>
      <c r="P449" s="2387" t="s">
        <v>7038</v>
      </c>
      <c r="Q449" s="2395"/>
      <c r="AE449" s="458"/>
      <c r="AF449" s="458"/>
    </row>
    <row r="450" spans="1:32" s="132" customFormat="1" ht="22.5" customHeight="1">
      <c r="A450" s="141" t="s">
        <v>2065</v>
      </c>
      <c r="B450" s="3451" t="s">
        <v>4501</v>
      </c>
      <c r="C450" s="3451"/>
      <c r="D450" s="3451"/>
      <c r="E450" s="3451"/>
      <c r="F450" s="3451"/>
      <c r="G450" s="3451"/>
      <c r="H450" s="3451"/>
      <c r="I450" s="3451"/>
      <c r="J450" s="3451"/>
      <c r="K450" s="3451"/>
      <c r="L450" s="3451"/>
      <c r="M450" s="3451"/>
      <c r="N450" s="3451"/>
      <c r="O450" s="160" t="s">
        <v>2065</v>
      </c>
      <c r="P450" s="2387" t="s">
        <v>7038</v>
      </c>
      <c r="Q450" s="2395"/>
      <c r="AE450" s="458"/>
      <c r="AF450" s="458"/>
    </row>
    <row r="451" spans="1:32" s="132" customFormat="1" ht="21.75" customHeight="1">
      <c r="A451" s="141" t="s">
        <v>1692</v>
      </c>
      <c r="B451" s="3451" t="s">
        <v>4502</v>
      </c>
      <c r="C451" s="3451"/>
      <c r="D451" s="3451"/>
      <c r="E451" s="3451"/>
      <c r="F451" s="3451"/>
      <c r="G451" s="3451"/>
      <c r="H451" s="3451"/>
      <c r="I451" s="3451"/>
      <c r="J451" s="3451"/>
      <c r="K451" s="3451"/>
      <c r="L451" s="3451"/>
      <c r="M451" s="3451"/>
      <c r="N451" s="3451"/>
      <c r="O451" s="160" t="s">
        <v>1692</v>
      </c>
      <c r="P451" s="2387" t="s">
        <v>7038</v>
      </c>
      <c r="Q451" s="2395"/>
      <c r="AE451" s="458"/>
      <c r="AF451" s="458"/>
    </row>
    <row r="452" spans="1:32" s="411" customFormat="1" ht="21.75" customHeight="1">
      <c r="A452" s="141" t="s">
        <v>1693</v>
      </c>
      <c r="B452" s="3451" t="s">
        <v>4565</v>
      </c>
      <c r="C452" s="3451"/>
      <c r="D452" s="3451"/>
      <c r="E452" s="3451"/>
      <c r="F452" s="3451"/>
      <c r="G452" s="3451"/>
      <c r="H452" s="3451"/>
      <c r="I452" s="3451"/>
      <c r="J452" s="3451"/>
      <c r="K452" s="3451"/>
      <c r="L452" s="3451"/>
      <c r="M452" s="3451"/>
      <c r="N452" s="3451"/>
      <c r="O452" s="160" t="s">
        <v>1693</v>
      </c>
      <c r="P452" s="2388" t="s">
        <v>7038</v>
      </c>
      <c r="Q452" s="2251"/>
      <c r="AE452" s="460"/>
      <c r="AF452" s="460"/>
    </row>
    <row r="453" spans="1:32" ht="11.25" customHeight="1">
      <c r="B453" s="140" t="s">
        <v>3566</v>
      </c>
      <c r="D453" s="140"/>
      <c r="E453" s="140"/>
      <c r="F453" s="140"/>
      <c r="G453" s="140"/>
      <c r="H453" s="40"/>
      <c r="I453" s="2399"/>
      <c r="J453" s="2399"/>
      <c r="K453" s="2399"/>
      <c r="L453" s="2375"/>
      <c r="M453" s="2375"/>
      <c r="N453" s="2375"/>
      <c r="O453" s="2375"/>
      <c r="P453" s="2375"/>
      <c r="Q453" s="855"/>
    </row>
    <row r="454" spans="1:32" ht="33.6" customHeight="1">
      <c r="A454" s="3439" t="s">
        <v>7060</v>
      </c>
      <c r="B454" s="3440"/>
      <c r="C454" s="3440"/>
      <c r="D454" s="3440"/>
      <c r="E454" s="3440"/>
      <c r="F454" s="3440"/>
      <c r="G454" s="3440"/>
      <c r="H454" s="3440"/>
      <c r="I454" s="3440"/>
      <c r="J454" s="3440"/>
      <c r="K454" s="3440"/>
      <c r="L454" s="3440"/>
      <c r="M454" s="3440"/>
      <c r="N454" s="3440"/>
      <c r="O454" s="3440"/>
      <c r="P454" s="3440"/>
      <c r="Q454" s="344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81"/>
      <c r="E455" s="2381"/>
      <c r="F455" s="2381"/>
      <c r="G455" s="2381"/>
      <c r="H455" s="2381"/>
      <c r="I455" s="2381"/>
      <c r="J455" s="2381"/>
      <c r="K455" s="2381"/>
      <c r="L455" s="2381"/>
      <c r="M455" s="2381"/>
      <c r="N455" s="2381"/>
      <c r="O455" s="2381"/>
      <c r="P455" s="2381"/>
      <c r="Q455" s="2381"/>
    </row>
    <row r="456" spans="1:32" ht="33.6" customHeight="1">
      <c r="A456" s="3433"/>
      <c r="B456" s="3434"/>
      <c r="C456" s="3434"/>
      <c r="D456" s="3434"/>
      <c r="E456" s="3434"/>
      <c r="F456" s="3434"/>
      <c r="G456" s="3434"/>
      <c r="H456" s="3434"/>
      <c r="I456" s="3434"/>
      <c r="J456" s="3434"/>
      <c r="K456" s="3434"/>
      <c r="L456" s="3434"/>
      <c r="M456" s="3434"/>
      <c r="N456" s="3434"/>
      <c r="O456" s="3434"/>
      <c r="P456" s="3434"/>
      <c r="Q456" s="3435"/>
    </row>
    <row r="457" spans="1:32" ht="3" customHeight="1">
      <c r="A457" s="2375"/>
      <c r="B457" s="2399"/>
      <c r="C457" s="2381"/>
      <c r="D457" s="2381"/>
      <c r="E457" s="2381"/>
      <c r="F457" s="2381"/>
      <c r="G457" s="2381"/>
      <c r="H457" s="2381"/>
      <c r="I457" s="2381"/>
      <c r="J457" s="2381"/>
      <c r="K457" s="2381"/>
      <c r="L457" s="2381"/>
      <c r="M457" s="2381"/>
      <c r="Q457" s="855"/>
    </row>
    <row r="458" spans="1:32" s="43" customFormat="1" ht="12.75" customHeight="1" thickBot="1">
      <c r="A458" s="2373" t="s">
        <v>3796</v>
      </c>
      <c r="C458" s="10" t="s">
        <v>2639</v>
      </c>
      <c r="D458" s="58"/>
      <c r="E458" s="52"/>
      <c r="J458" s="61"/>
      <c r="M458" s="2374"/>
      <c r="N458" s="6"/>
      <c r="O458" s="131" t="s">
        <v>1821</v>
      </c>
      <c r="P458" s="3442"/>
      <c r="Q458" s="3429"/>
    </row>
    <row r="459" spans="1:32" s="409" customFormat="1" ht="15" customHeight="1" thickBot="1">
      <c r="A459" s="141" t="s">
        <v>1936</v>
      </c>
      <c r="B459" s="3451" t="s">
        <v>4585</v>
      </c>
      <c r="C459" s="3451"/>
      <c r="D459" s="3451"/>
      <c r="E459" s="3451"/>
      <c r="F459" s="3451"/>
      <c r="G459" s="3451"/>
      <c r="H459" s="3451"/>
      <c r="I459" s="3451"/>
      <c r="J459" s="3465" t="s">
        <v>4456</v>
      </c>
      <c r="K459" s="3466"/>
      <c r="L459" s="1599" t="s">
        <v>4587</v>
      </c>
      <c r="M459" s="1517"/>
      <c r="N459" s="1513">
        <f>ROUNDUP('Part VI-Revenues &amp; Expenses'!$P$63*0.1,0)</f>
        <v>6</v>
      </c>
      <c r="O459" s="388" t="s">
        <v>1936</v>
      </c>
      <c r="P459" s="3484" t="s">
        <v>7038</v>
      </c>
      <c r="Q459" s="3483"/>
      <c r="R459" s="1512"/>
      <c r="S459" s="1512"/>
    </row>
    <row r="460" spans="1:32" s="409" customFormat="1" ht="15" customHeight="1">
      <c r="B460" s="3451"/>
      <c r="C460" s="3451"/>
      <c r="D460" s="3451"/>
      <c r="E460" s="3451"/>
      <c r="F460" s="3451"/>
      <c r="G460" s="3451"/>
      <c r="H460" s="3451"/>
      <c r="I460" s="3451"/>
      <c r="J460" s="3467">
        <f>'Part VI-Revenues &amp; Expenses'!$P$100</f>
        <v>0</v>
      </c>
      <c r="K460" s="3467"/>
      <c r="L460" s="1597" t="s">
        <v>4457</v>
      </c>
      <c r="M460" s="92"/>
      <c r="N460" s="1600">
        <f>'Part VI-Revenues &amp; Expenses'!$P$63</f>
        <v>60</v>
      </c>
      <c r="P460" s="3481"/>
      <c r="Q460" s="3477"/>
      <c r="R460" s="1512"/>
      <c r="S460" s="1512"/>
    </row>
    <row r="461" spans="1:32" s="409" customFormat="1" ht="15" customHeight="1">
      <c r="A461" s="141"/>
      <c r="B461" s="3451"/>
      <c r="C461" s="3451"/>
      <c r="D461" s="3451"/>
      <c r="E461" s="3451"/>
      <c r="F461" s="3451"/>
      <c r="G461" s="3451"/>
      <c r="H461" s="3451"/>
      <c r="I461" s="3451"/>
      <c r="J461" s="563"/>
      <c r="L461" s="856" t="s">
        <v>1749</v>
      </c>
      <c r="M461" s="92"/>
      <c r="N461" s="1602">
        <f>'Part VI-Revenues &amp; Expenses'!$P$67</f>
        <v>60</v>
      </c>
      <c r="P461" s="3481"/>
      <c r="Q461" s="3477"/>
    </row>
    <row r="462" spans="1:32" s="431" customFormat="1" ht="22.5" customHeight="1">
      <c r="A462" s="141" t="s">
        <v>1938</v>
      </c>
      <c r="B462" s="3451" t="s">
        <v>4591</v>
      </c>
      <c r="C462" s="3451"/>
      <c r="D462" s="3451"/>
      <c r="E462" s="3451"/>
      <c r="F462" s="3451"/>
      <c r="G462" s="3451"/>
      <c r="H462" s="3451"/>
      <c r="I462" s="3451"/>
      <c r="J462" s="3497" t="s">
        <v>4586</v>
      </c>
      <c r="K462" s="3427"/>
      <c r="L462" s="3494"/>
      <c r="M462" s="3495"/>
      <c r="N462" s="3496"/>
      <c r="O462" s="388" t="s">
        <v>1938</v>
      </c>
      <c r="P462" s="2387" t="s">
        <v>2886</v>
      </c>
      <c r="Q462" s="2395"/>
    </row>
    <row r="463" spans="1:32" s="431" customFormat="1" ht="12" customHeight="1" thickBot="1">
      <c r="A463" s="141" t="s">
        <v>731</v>
      </c>
      <c r="B463" s="3451" t="s">
        <v>4360</v>
      </c>
      <c r="C463" s="3451"/>
      <c r="D463" s="3451"/>
      <c r="E463" s="3451"/>
      <c r="F463" s="3451"/>
      <c r="G463" s="3451"/>
      <c r="H463" s="3451"/>
      <c r="I463" s="3451"/>
      <c r="J463" s="1065" t="s">
        <v>4280</v>
      </c>
      <c r="K463" s="1467">
        <f>'Part VI-Revenues &amp; Expenses'!$P$115</f>
        <v>60</v>
      </c>
      <c r="L463" s="1598" t="s">
        <v>4279</v>
      </c>
      <c r="M463" s="92"/>
      <c r="N463" s="1601">
        <f>ROUNDUP(N461*0.1,0)</f>
        <v>6</v>
      </c>
      <c r="O463" s="388" t="s">
        <v>731</v>
      </c>
      <c r="P463" s="3481" t="s">
        <v>2886</v>
      </c>
      <c r="Q463" s="3477"/>
      <c r="R463" s="1512"/>
      <c r="S463" s="1512"/>
    </row>
    <row r="464" spans="1:32" s="431" customFormat="1" ht="12" customHeight="1" thickBot="1">
      <c r="B464" s="3451"/>
      <c r="C464" s="3451"/>
      <c r="D464" s="3451"/>
      <c r="E464" s="3451"/>
      <c r="F464" s="3451"/>
      <c r="G464" s="3451"/>
      <c r="H464" s="3451"/>
      <c r="I464" s="3451"/>
      <c r="J464" s="1065" t="s">
        <v>4281</v>
      </c>
      <c r="K464" s="1468">
        <f>IF(N461=0,"",K463/N461)</f>
        <v>1</v>
      </c>
      <c r="L464" s="1515" t="s">
        <v>4455</v>
      </c>
      <c r="M464" s="1516"/>
      <c r="N464" s="1514">
        <f>'Part VI-Revenues &amp; Expenses'!$L$67/'Part VI-Revenues &amp; Expenses'!$P$67</f>
        <v>0.13333333333333333</v>
      </c>
      <c r="O464" s="388" t="str">
        <f>IF(AND(N464&lt;0.1,P463="Yes"), "Check!","")</f>
        <v/>
      </c>
      <c r="P464" s="3482"/>
      <c r="Q464" s="3478"/>
      <c r="R464" s="1512"/>
      <c r="S464" s="1512"/>
    </row>
    <row r="465" spans="1:32" s="94" customFormat="1" ht="12" customHeight="1">
      <c r="A465" s="47" t="s">
        <v>2065</v>
      </c>
      <c r="B465" s="554" t="s">
        <v>1939</v>
      </c>
      <c r="C465" s="1596" t="s">
        <v>4282</v>
      </c>
      <c r="D465" s="1596"/>
      <c r="E465" s="1596"/>
      <c r="F465" s="1596"/>
      <c r="G465" s="1596"/>
      <c r="H465" s="1596"/>
      <c r="I465" s="1596"/>
      <c r="J465" s="1596"/>
      <c r="K465" s="1596"/>
      <c r="L465" s="1596"/>
      <c r="M465" s="1596"/>
      <c r="N465" s="1596"/>
      <c r="O465" s="1603" t="s">
        <v>4588</v>
      </c>
      <c r="P465" s="2256" t="s">
        <v>2889</v>
      </c>
      <c r="Q465" s="518"/>
      <c r="AE465" s="461"/>
      <c r="AF465" s="461"/>
    </row>
    <row r="466" spans="1:32" s="94" customFormat="1">
      <c r="B466" s="554" t="s">
        <v>1941</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8"/>
    </row>
    <row r="468" spans="1:32" s="43" customFormat="1" ht="21.75" customHeight="1">
      <c r="A468" s="3439" t="s">
        <v>7169</v>
      </c>
      <c r="B468" s="3440"/>
      <c r="C468" s="3440"/>
      <c r="D468" s="3440"/>
      <c r="E468" s="3440"/>
      <c r="F468" s="3440"/>
      <c r="G468" s="3440"/>
      <c r="H468" s="3440"/>
      <c r="I468" s="3440"/>
      <c r="J468" s="3440"/>
      <c r="K468" s="3440"/>
      <c r="L468" s="3440"/>
      <c r="M468" s="3440"/>
      <c r="N468" s="3440"/>
      <c r="O468" s="3440"/>
      <c r="P468" s="3440"/>
      <c r="Q468" s="3441"/>
      <c r="R468" s="1027" t="s">
        <v>1228</v>
      </c>
    </row>
    <row r="469" spans="1:32" s="43" customFormat="1" ht="10.5" customHeight="1">
      <c r="B469" s="85" t="s">
        <v>1820</v>
      </c>
      <c r="C469" s="98"/>
      <c r="D469" s="85"/>
      <c r="E469" s="99"/>
      <c r="F469" s="2381"/>
      <c r="G469" s="2381"/>
      <c r="H469" s="2381"/>
      <c r="I469" s="2381"/>
      <c r="J469" s="2381"/>
      <c r="K469" s="2381"/>
      <c r="L469" s="2381"/>
      <c r="M469" s="2381"/>
      <c r="N469" s="74"/>
      <c r="O469" s="70"/>
      <c r="P469" s="2374"/>
      <c r="Q469" s="422"/>
    </row>
    <row r="470" spans="1:32" s="43" customFormat="1" ht="11.25" customHeight="1">
      <c r="A470" s="3433"/>
      <c r="B470" s="3434"/>
      <c r="C470" s="3434"/>
      <c r="D470" s="3434"/>
      <c r="E470" s="3434"/>
      <c r="F470" s="3434"/>
      <c r="G470" s="3434"/>
      <c r="H470" s="3434"/>
      <c r="I470" s="3434"/>
      <c r="J470" s="3434"/>
      <c r="K470" s="3434"/>
      <c r="L470" s="3434"/>
      <c r="M470" s="3434"/>
      <c r="N470" s="3434"/>
      <c r="O470" s="3434"/>
      <c r="P470" s="3434"/>
      <c r="Q470" s="3435"/>
    </row>
    <row r="471" spans="1:32" ht="3" customHeight="1">
      <c r="A471" s="2375"/>
      <c r="B471" s="2399"/>
      <c r="C471" s="2381"/>
      <c r="D471" s="2381"/>
      <c r="E471" s="2381"/>
      <c r="F471" s="2381"/>
      <c r="G471" s="2381"/>
      <c r="H471" s="2381"/>
      <c r="I471" s="2381"/>
      <c r="J471" s="2381"/>
      <c r="K471" s="2381"/>
      <c r="L471" s="2381"/>
      <c r="M471" s="2381"/>
      <c r="N471" s="2381"/>
      <c r="O471" s="2381"/>
      <c r="P471" s="2381"/>
      <c r="Q471" s="2375"/>
    </row>
    <row r="472" spans="1:32" ht="14.1" customHeight="1">
      <c r="A472" s="2373" t="s">
        <v>4277</v>
      </c>
      <c r="B472" s="4"/>
      <c r="C472" s="4" t="s">
        <v>2594</v>
      </c>
      <c r="D472" s="86"/>
      <c r="E472" s="2381"/>
      <c r="F472" s="2381"/>
      <c r="G472" s="2381"/>
      <c r="H472" s="2381"/>
      <c r="J472" s="2381"/>
      <c r="K472" s="2381"/>
      <c r="L472" s="2381"/>
      <c r="M472" s="2381"/>
      <c r="O472" s="131" t="s">
        <v>1821</v>
      </c>
      <c r="P472" s="3442"/>
      <c r="Q472" s="3429"/>
    </row>
    <row r="473" spans="1:32" ht="11.25" customHeight="1">
      <c r="A473" s="2373"/>
      <c r="B473" s="140" t="s">
        <v>3566</v>
      </c>
      <c r="D473" s="140"/>
      <c r="E473" s="140"/>
      <c r="F473" s="140"/>
      <c r="G473" s="140"/>
      <c r="H473" s="40"/>
      <c r="I473" s="2399"/>
      <c r="J473" s="2399"/>
      <c r="K473" s="2399"/>
      <c r="L473" s="2375"/>
      <c r="M473" s="2375"/>
      <c r="N473" s="2375"/>
      <c r="O473" s="2375"/>
      <c r="P473" s="2375"/>
      <c r="Q473" s="855"/>
    </row>
    <row r="474" spans="1:32" ht="22.5" customHeight="1">
      <c r="A474" s="3439" t="s">
        <v>7061</v>
      </c>
      <c r="B474" s="3440"/>
      <c r="C474" s="3440"/>
      <c r="D474" s="3440"/>
      <c r="E474" s="3440"/>
      <c r="F474" s="3440"/>
      <c r="G474" s="3440"/>
      <c r="H474" s="3440"/>
      <c r="I474" s="3440"/>
      <c r="J474" s="3440"/>
      <c r="K474" s="3440"/>
      <c r="L474" s="3440"/>
      <c r="M474" s="3440"/>
      <c r="N474" s="3440"/>
      <c r="O474" s="3440"/>
      <c r="P474" s="3440"/>
      <c r="Q474" s="3441"/>
      <c r="R474" s="440" t="s">
        <v>1228</v>
      </c>
      <c r="S474" s="441"/>
      <c r="U474" s="135"/>
      <c r="V474" s="135"/>
      <c r="W474" s="135"/>
      <c r="X474" s="135"/>
      <c r="Y474" s="135"/>
      <c r="Z474" s="135"/>
      <c r="AA474" s="135"/>
      <c r="AB474" s="135"/>
      <c r="AC474" s="135"/>
      <c r="AD474" s="135"/>
      <c r="AE474" s="457"/>
    </row>
    <row r="475" spans="1:32" ht="11.25" customHeight="1">
      <c r="B475" s="136" t="s">
        <v>1820</v>
      </c>
      <c r="C475" s="137"/>
      <c r="D475" s="2381"/>
      <c r="E475" s="2381"/>
      <c r="F475" s="2381"/>
      <c r="G475" s="2381"/>
      <c r="H475" s="2381"/>
      <c r="I475" s="2381"/>
      <c r="J475" s="2381"/>
      <c r="K475" s="2381"/>
      <c r="L475" s="2381"/>
      <c r="M475" s="2381"/>
      <c r="N475" s="2381"/>
      <c r="O475" s="2381"/>
      <c r="P475" s="2381"/>
      <c r="Q475" s="2381"/>
    </row>
    <row r="476" spans="1:32" ht="22.5" customHeight="1">
      <c r="A476" s="3433"/>
      <c r="B476" s="3434"/>
      <c r="C476" s="3434"/>
      <c r="D476" s="3434"/>
      <c r="E476" s="3434"/>
      <c r="F476" s="3434"/>
      <c r="G476" s="3434"/>
      <c r="H476" s="3434"/>
      <c r="I476" s="3434"/>
      <c r="J476" s="3434"/>
      <c r="K476" s="3434"/>
      <c r="L476" s="3434"/>
      <c r="M476" s="3434"/>
      <c r="N476" s="3434"/>
      <c r="O476" s="3434"/>
      <c r="P476" s="3434"/>
      <c r="Q476" s="3435"/>
    </row>
    <row r="477" spans="1:32" ht="3" customHeight="1">
      <c r="A477" s="2375"/>
      <c r="B477" s="2399"/>
      <c r="C477" s="2381"/>
      <c r="D477" s="2381"/>
      <c r="E477" s="2381"/>
      <c r="F477" s="2381"/>
      <c r="G477" s="2381"/>
      <c r="H477" s="2381"/>
      <c r="I477" s="2381"/>
      <c r="J477" s="2381"/>
      <c r="K477" s="2381"/>
      <c r="L477" s="2381"/>
      <c r="M477" s="2381"/>
      <c r="N477" s="2381"/>
      <c r="O477" s="2381"/>
      <c r="P477" s="2381"/>
      <c r="Q477" s="2375"/>
    </row>
    <row r="478" spans="1:32" ht="3" customHeight="1">
      <c r="A478" s="2375"/>
      <c r="B478" s="2399"/>
      <c r="C478" s="2381"/>
      <c r="D478" s="2381"/>
      <c r="E478" s="2381"/>
      <c r="F478" s="2381"/>
      <c r="G478" s="2381"/>
      <c r="H478" s="2381"/>
      <c r="I478" s="2381"/>
      <c r="J478" s="2381"/>
      <c r="K478" s="2381"/>
      <c r="L478" s="2381"/>
      <c r="M478" s="2381"/>
      <c r="N478" s="2381"/>
      <c r="O478" s="2381"/>
      <c r="P478" s="2381"/>
      <c r="Q478" s="2375"/>
    </row>
    <row r="479" spans="1:32" ht="14.1" customHeight="1">
      <c r="A479" s="2373" t="s">
        <v>4278</v>
      </c>
      <c r="B479" s="4"/>
      <c r="C479" s="4" t="s">
        <v>4696</v>
      </c>
      <c r="D479" s="86"/>
      <c r="E479" s="2381"/>
      <c r="F479" s="2381"/>
      <c r="G479" s="2381"/>
      <c r="H479" s="2381"/>
      <c r="I479" s="2381"/>
      <c r="J479" s="2381"/>
      <c r="K479" s="2381"/>
      <c r="L479" s="2381"/>
      <c r="M479" s="2381"/>
      <c r="O479" s="131" t="s">
        <v>1821</v>
      </c>
      <c r="P479" s="3442"/>
      <c r="Q479" s="3429"/>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9" t="s">
        <v>2886</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2079</v>
      </c>
      <c r="D490" s="997"/>
      <c r="E490" s="997"/>
      <c r="F490" s="997"/>
      <c r="G490" s="997"/>
      <c r="H490" s="997"/>
      <c r="I490" s="997"/>
      <c r="J490" s="1469" t="s">
        <v>1162</v>
      </c>
      <c r="N490" s="999"/>
      <c r="O490" s="998" t="s">
        <v>3626</v>
      </c>
      <c r="P490" s="1000"/>
      <c r="AE490" s="1721"/>
      <c r="AF490" s="1721"/>
    </row>
    <row r="491" spans="1:32" s="998" customFormat="1" ht="10.199999999999999">
      <c r="C491" s="1001" t="s">
        <v>2080</v>
      </c>
      <c r="J491" s="1469" t="s">
        <v>1682</v>
      </c>
      <c r="N491" s="999"/>
      <c r="O491" s="998" t="s">
        <v>3627</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4270</v>
      </c>
      <c r="AE498" s="1006"/>
      <c r="AF498" s="1006"/>
    </row>
    <row r="499" spans="3:32" s="997" customFormat="1" ht="10.199999999999999">
      <c r="C499" s="997" t="s">
        <v>2041</v>
      </c>
      <c r="E499" s="998"/>
      <c r="F499" s="998"/>
      <c r="G499" s="998"/>
      <c r="H499" s="998"/>
      <c r="I499" s="998"/>
      <c r="J499" s="998" t="s">
        <v>3581</v>
      </c>
      <c r="K499" s="998"/>
      <c r="L499" s="998"/>
      <c r="M499" s="998"/>
      <c r="AE499" s="1006"/>
      <c r="AF499" s="1006"/>
    </row>
    <row r="500" spans="3:32" s="997" customFormat="1" ht="10.199999999999999">
      <c r="C500" s="997" t="s">
        <v>2478</v>
      </c>
      <c r="D500" s="998"/>
      <c r="E500" s="998"/>
      <c r="F500" s="998"/>
      <c r="G500" s="998"/>
      <c r="I500" s="998"/>
      <c r="J500" s="998" t="s">
        <v>3582</v>
      </c>
      <c r="K500" s="998"/>
      <c r="L500" s="998"/>
      <c r="M500" s="998"/>
      <c r="AE500" s="1006"/>
      <c r="AF500" s="1006"/>
    </row>
    <row r="501" spans="3:32" s="997" customFormat="1" ht="10.199999999999999">
      <c r="C501" s="997" t="s">
        <v>2042</v>
      </c>
      <c r="D501" s="998"/>
      <c r="E501" s="998"/>
      <c r="F501" s="998"/>
      <c r="G501" s="998"/>
      <c r="H501" s="998"/>
      <c r="I501" s="998"/>
      <c r="J501" s="998" t="s">
        <v>4268</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1964</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3576</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4363</v>
      </c>
      <c r="AE543" s="1006"/>
      <c r="AF543" s="1006"/>
    </row>
    <row r="544" spans="3:32" s="997" customFormat="1" ht="10.199999999999999">
      <c r="C544" s="997" t="s">
        <v>1494</v>
      </c>
      <c r="K544" s="997" t="s">
        <v>3678</v>
      </c>
      <c r="AE544" s="1006"/>
      <c r="AF544" s="1006"/>
    </row>
    <row r="545" spans="3:32" s="997" customFormat="1" ht="10.199999999999999">
      <c r="C545" s="997" t="s">
        <v>2068</v>
      </c>
      <c r="K545" s="997" t="s">
        <v>4364</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2041</v>
      </c>
      <c r="M556" s="997" t="s">
        <v>4397</v>
      </c>
      <c r="AE556" s="1006"/>
      <c r="AF556" s="1006"/>
    </row>
    <row r="557" spans="3:32" s="997" customFormat="1" ht="10.199999999999999">
      <c r="C557" s="997" t="s">
        <v>2478</v>
      </c>
      <c r="M557" s="997" t="s">
        <v>4432</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4398</v>
      </c>
      <c r="AE559" s="1006"/>
      <c r="AF559" s="1006"/>
    </row>
    <row r="560" spans="3:32" s="997" customFormat="1" ht="10.199999999999999">
      <c r="C560" s="997" t="s">
        <v>573</v>
      </c>
      <c r="M560" s="1471" t="s">
        <v>4476</v>
      </c>
      <c r="AE560" s="1006"/>
      <c r="AF560" s="1006"/>
    </row>
    <row r="561" spans="3:32" s="997" customFormat="1" ht="10.199999999999999">
      <c r="C561" s="997" t="s">
        <v>2145</v>
      </c>
      <c r="M561" s="1471" t="s">
        <v>4477</v>
      </c>
      <c r="AE561" s="1006"/>
      <c r="AF561" s="1006"/>
    </row>
    <row r="562" spans="3:32" s="997" customFormat="1" ht="10.199999999999999">
      <c r="C562" s="1005" t="s">
        <v>31</v>
      </c>
      <c r="M562" s="997" t="s">
        <v>4399</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BTibHcNONtIs8+D6l3cO3F9JUZ6FUu+wNB2woK7u9Wy5bphqgM1fO0yDowgrPBf1F39Y5mHcIaZcXAb/nrubgQ==" saltValue="XnohnX1L8aNPgEipeoooh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2" zoomScale="150" zoomScaleNormal="150" workbookViewId="0">
      <selection activeCell="A43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1" customWidth="1"/>
    <col min="17" max="17" width="6" style="27" customWidth="1"/>
    <col min="18" max="21" width="9.109375" style="27" customWidth="1"/>
    <col min="22" max="22" width="8.88671875" style="27" customWidth="1"/>
    <col min="23" max="16384" width="9.109375" style="27"/>
  </cols>
  <sheetData>
    <row r="1" spans="1:22" s="35" customFormat="1" ht="14.1" customHeight="1">
      <c r="A1" s="3104" t="str">
        <f>CONCATENATE("PART NINE - SCORING CRITERIA","  -  ",'Part I-Project Information'!$O$6," ",'Part I-Project Information'!$F$34,", ",'Part I-Project Information'!F38,", ",'Part I-Project Information'!J39," County")</f>
        <v>PART NINE - SCORING CRITERIA  -  2020-091 The Pointe at St. Martin, Hartwell, Hart County</v>
      </c>
      <c r="B1" s="3105"/>
      <c r="C1" s="3105"/>
      <c r="D1" s="3105"/>
      <c r="E1" s="3105"/>
      <c r="F1" s="3105"/>
      <c r="G1" s="3105"/>
      <c r="H1" s="3105"/>
      <c r="I1" s="3105"/>
      <c r="J1" s="3105"/>
      <c r="K1" s="3105"/>
      <c r="L1" s="3105"/>
      <c r="M1" s="3105"/>
      <c r="N1" s="3105"/>
      <c r="O1" s="3105"/>
      <c r="P1" s="3106"/>
      <c r="Q1" s="1485"/>
      <c r="R1" s="1485"/>
      <c r="S1" s="1485"/>
    </row>
    <row r="2" spans="1:22" s="35" customFormat="1" ht="4.3499999999999996" customHeight="1">
      <c r="A2" s="36"/>
      <c r="B2" s="36"/>
      <c r="C2" s="37"/>
      <c r="D2" s="36"/>
      <c r="E2" s="36"/>
      <c r="F2" s="36"/>
      <c r="G2" s="36"/>
      <c r="H2" s="36"/>
      <c r="I2" s="36"/>
      <c r="J2" s="36"/>
      <c r="K2" s="36"/>
      <c r="L2" s="36"/>
      <c r="M2" s="38"/>
      <c r="N2" s="72"/>
      <c r="O2" s="2374"/>
      <c r="P2" s="2374"/>
      <c r="Q2" s="1485"/>
      <c r="R2" s="1485"/>
      <c r="S2" s="1485"/>
    </row>
    <row r="3" spans="1:22" s="42" customFormat="1" ht="12" customHeight="1">
      <c r="A3" s="3831" t="s">
        <v>4380</v>
      </c>
      <c r="B3" s="3831"/>
      <c r="C3" s="3831"/>
      <c r="D3" s="3831"/>
      <c r="E3" s="3831"/>
      <c r="F3" s="3831"/>
      <c r="G3" s="3831"/>
      <c r="H3" s="3831"/>
      <c r="I3" s="3831"/>
      <c r="J3" s="3831"/>
      <c r="K3" s="3831"/>
      <c r="L3" s="3831"/>
      <c r="M3" s="1096" t="s">
        <v>2163</v>
      </c>
      <c r="N3" s="73"/>
      <c r="O3" s="83" t="s">
        <v>2162</v>
      </c>
      <c r="P3" s="1097" t="s">
        <v>251</v>
      </c>
      <c r="Q3" s="1485"/>
      <c r="R3" s="1485"/>
      <c r="S3" s="1485"/>
    </row>
    <row r="4" spans="1:22" s="44" customFormat="1" ht="12" customHeight="1">
      <c r="A4" s="3831"/>
      <c r="B4" s="3831"/>
      <c r="C4" s="3831"/>
      <c r="D4" s="3831"/>
      <c r="E4" s="3831"/>
      <c r="F4" s="3831"/>
      <c r="G4" s="3831"/>
      <c r="H4" s="3831"/>
      <c r="I4" s="3831"/>
      <c r="J4" s="3831"/>
      <c r="K4" s="3831"/>
      <c r="L4" s="3831"/>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58" t="str">
        <f>'Part I-Project Information'!$B$6</f>
        <v>May 26, 2020 Version</v>
      </c>
      <c r="C6" s="3858"/>
      <c r="D6" s="3858"/>
      <c r="E6" s="3858"/>
      <c r="F6" s="3858"/>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4351</v>
      </c>
      <c r="I8" s="66"/>
      <c r="J8" s="66"/>
      <c r="K8" s="66"/>
      <c r="L8" s="66"/>
      <c r="M8" s="1426" t="s">
        <v>4350</v>
      </c>
      <c r="N8" s="66"/>
      <c r="O8" s="2281">
        <v>0</v>
      </c>
      <c r="P8" s="1424">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855" t="s">
        <v>3826</v>
      </c>
      <c r="G10" s="3855"/>
      <c r="H10" s="3855"/>
      <c r="I10" s="3855"/>
      <c r="J10" s="3855"/>
      <c r="K10" s="3855"/>
      <c r="L10" s="3855"/>
      <c r="M10" s="3855"/>
      <c r="N10" s="3855"/>
      <c r="O10" s="1461" t="s">
        <v>4290</v>
      </c>
      <c r="P10" s="1462">
        <f>SUM(P11:P23)</f>
        <v>0</v>
      </c>
      <c r="Q10" s="3767" t="s">
        <v>4441</v>
      </c>
      <c r="R10" s="3767"/>
      <c r="S10" s="3767"/>
      <c r="T10" s="3767"/>
      <c r="U10" s="3767"/>
      <c r="V10" s="3767"/>
    </row>
    <row r="11" spans="1:22" s="42" customFormat="1" ht="11.25" customHeight="1">
      <c r="A11" s="1113" t="s">
        <v>724</v>
      </c>
      <c r="B11" s="1114" t="s">
        <v>3813</v>
      </c>
      <c r="C11" s="1115"/>
      <c r="D11" s="1116"/>
      <c r="E11" s="1452">
        <f>$O$64</f>
        <v>10</v>
      </c>
      <c r="F11" s="3856" t="str">
        <f>$A$70</f>
        <v xml:space="preserve">There are no undesirable amentities near the proposed site. There are a total of 15 desirable sites within two miles of the proposed site. There are two desirable amenities within .5 mile (medical care provider and a restaurant) and 13 desirable amenities greater than .5 mile but less than two miles (big box, retail, grocery store, pharmacy, school, town square, rec center, public park, public library, fire station, bank, and post office) from the proposed site. There is not a licensed day care service within two miles of the proposed property; therefore, it was not selected on the desirable activiites worksheet and a license is not provided as evidence. </v>
      </c>
      <c r="G11" s="3857"/>
      <c r="H11" s="3857"/>
      <c r="I11" s="3857"/>
      <c r="J11" s="3857"/>
      <c r="K11" s="3857"/>
      <c r="L11" s="3857"/>
      <c r="M11" s="3857"/>
      <c r="N11" s="3857"/>
      <c r="O11" s="3857"/>
      <c r="P11" s="2636"/>
      <c r="Q11" s="3767"/>
      <c r="R11" s="3767"/>
      <c r="S11" s="3767"/>
      <c r="T11" s="3767"/>
      <c r="U11" s="3767"/>
      <c r="V11" s="3767"/>
    </row>
    <row r="12" spans="1:22" s="42" customFormat="1" ht="11.25" customHeight="1">
      <c r="A12" s="1117" t="s">
        <v>1748</v>
      </c>
      <c r="B12" s="923" t="s">
        <v>4720</v>
      </c>
      <c r="C12" s="1036"/>
      <c r="D12" s="1118"/>
      <c r="E12" s="1453">
        <f>$O$74</f>
        <v>1</v>
      </c>
      <c r="F12" s="3804" t="str">
        <f>$A$107</f>
        <v xml:space="preserve">The Hart County Public Transit System will be providing transport for all residents of The Pointe at St. Martin. </v>
      </c>
      <c r="G12" s="3805"/>
      <c r="H12" s="3805"/>
      <c r="I12" s="3805"/>
      <c r="J12" s="3805"/>
      <c r="K12" s="3805"/>
      <c r="L12" s="3805"/>
      <c r="M12" s="3805"/>
      <c r="N12" s="3805"/>
      <c r="O12" s="3806"/>
      <c r="P12" s="2637"/>
      <c r="Q12" s="3746" t="str">
        <f>IF(OR($A$70="",$A$107="",$A$146="",$A$189="",$A$228="",$A$261="",$A$281="",$A$297="",$A$312="",$A$329="",$A$375="",$A$411="",$A$431=""),"Some Applicant Scoring Justification boxes are empty! Check to see if points claimed.","")</f>
        <v/>
      </c>
      <c r="R12" s="3747"/>
      <c r="S12" s="3747"/>
    </row>
    <row r="13" spans="1:22" s="42" customFormat="1" ht="11.25" customHeight="1">
      <c r="A13" s="1117" t="s">
        <v>1750</v>
      </c>
      <c r="B13" s="923" t="s">
        <v>4721</v>
      </c>
      <c r="C13" s="1036"/>
      <c r="D13" s="1118"/>
      <c r="E13" s="1453">
        <f>$O$112</f>
        <v>4</v>
      </c>
      <c r="F13" s="3804" t="str">
        <f>$A$146</f>
        <v xml:space="preserve">The Pointe at St. Martin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G13" s="3805"/>
      <c r="H13" s="3805"/>
      <c r="I13" s="3805"/>
      <c r="J13" s="3805"/>
      <c r="K13" s="3805"/>
      <c r="L13" s="3805"/>
      <c r="M13" s="3805"/>
      <c r="N13" s="3805"/>
      <c r="O13" s="3806"/>
      <c r="P13" s="2637"/>
      <c r="Q13" s="3746"/>
      <c r="R13" s="3747"/>
      <c r="S13" s="3747"/>
    </row>
    <row r="14" spans="1:22" s="42" customFormat="1" ht="11.25" customHeight="1">
      <c r="A14" s="1117" t="s">
        <v>516</v>
      </c>
      <c r="B14" s="923" t="s">
        <v>3814</v>
      </c>
      <c r="C14" s="1036"/>
      <c r="D14" s="1118"/>
      <c r="E14" s="1453">
        <f>$O$150</f>
        <v>2</v>
      </c>
      <c r="F14" s="3804" t="str">
        <f>$A$189</f>
        <v xml:space="preserve">Hartwell Elemenarty is the only scool that is zoned for the proposed development site that scores above the CCRPI state average.  We have included a letter confirming the applicable school districts for the proposed site. The site exceeds the minimum jobs threshold by 32%. Therefore, we are claiming 1 point. </v>
      </c>
      <c r="G14" s="3805"/>
      <c r="H14" s="3805"/>
      <c r="I14" s="3805"/>
      <c r="J14" s="3805"/>
      <c r="K14" s="3805"/>
      <c r="L14" s="3805"/>
      <c r="M14" s="3805"/>
      <c r="N14" s="3805"/>
      <c r="O14" s="3806"/>
      <c r="P14" s="2637"/>
      <c r="Q14" s="3746"/>
      <c r="R14" s="3747"/>
      <c r="S14" s="3747"/>
    </row>
    <row r="15" spans="1:22" s="42" customFormat="1" ht="11.25" customHeight="1">
      <c r="A15" s="1117" t="s">
        <v>754</v>
      </c>
      <c r="B15" s="923" t="s">
        <v>3815</v>
      </c>
      <c r="C15" s="1036"/>
      <c r="D15" s="1118"/>
      <c r="E15" s="1454">
        <f>$O$193</f>
        <v>0</v>
      </c>
      <c r="F15" s="3804" t="str">
        <f>$A$228</f>
        <v>Applicants are ineligible to claim points in either Scoring Sections VII. Revitalization/Redevelopment Plans or VIII. Community Transformation if claiming points in either Scoring Sections VI. Place-Based Opportunity or IX. Stable Communities.</v>
      </c>
      <c r="G15" s="3805"/>
      <c r="H15" s="3805"/>
      <c r="I15" s="3805"/>
      <c r="J15" s="3805"/>
      <c r="K15" s="3805"/>
      <c r="L15" s="3805"/>
      <c r="M15" s="3805"/>
      <c r="N15" s="3805"/>
      <c r="O15" s="3806"/>
      <c r="P15" s="2637"/>
      <c r="Q15" s="3746"/>
      <c r="R15" s="3747"/>
      <c r="S15" s="3747"/>
    </row>
    <row r="16" spans="1:22" s="42" customFormat="1" ht="11.25" customHeight="1">
      <c r="A16" s="1123" t="s">
        <v>287</v>
      </c>
      <c r="B16" s="1124" t="s">
        <v>3816</v>
      </c>
      <c r="C16" s="1125"/>
      <c r="D16" s="1126"/>
      <c r="E16" s="1455" t="s">
        <v>1690</v>
      </c>
      <c r="F16" s="3812" t="str">
        <f>$A$261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 s="3813"/>
      <c r="H16" s="3813"/>
      <c r="I16" s="3813"/>
      <c r="J16" s="3813"/>
      <c r="K16" s="3813"/>
      <c r="L16" s="3813"/>
      <c r="M16" s="3813"/>
      <c r="N16" s="3813"/>
      <c r="O16" s="3814"/>
      <c r="P16" s="2637"/>
      <c r="Q16" s="3746"/>
      <c r="R16" s="3747"/>
      <c r="S16" s="3747"/>
    </row>
    <row r="17" spans="1:19" s="42" customFormat="1" ht="11.25" customHeight="1">
      <c r="A17" s="1117" t="s">
        <v>418</v>
      </c>
      <c r="B17" s="923" t="s">
        <v>4722</v>
      </c>
      <c r="C17" s="1036"/>
      <c r="D17" s="1118"/>
      <c r="E17" s="1453">
        <f>$O$265</f>
        <v>2</v>
      </c>
      <c r="F17" s="3804" t="str">
        <f>$A$281</f>
        <v xml:space="preserve">Documenation supporting the Low-Poverty Communities has been included in the application. This site is eligible for 1 point in the Enterprise Community Partners Opportunity 360 section of IX. Stable Communities. </v>
      </c>
      <c r="G17" s="3805"/>
      <c r="H17" s="3805"/>
      <c r="I17" s="3805"/>
      <c r="J17" s="3805"/>
      <c r="K17" s="3805"/>
      <c r="L17" s="3805"/>
      <c r="M17" s="3805"/>
      <c r="N17" s="3805"/>
      <c r="O17" s="3806"/>
      <c r="P17" s="2637"/>
      <c r="Q17" s="3746"/>
      <c r="R17" s="3747"/>
      <c r="S17" s="3747"/>
    </row>
    <row r="18" spans="1:19" s="42" customFormat="1" ht="11.25" customHeight="1">
      <c r="A18" s="1117" t="s">
        <v>4346</v>
      </c>
      <c r="B18" s="923" t="s">
        <v>3598</v>
      </c>
      <c r="C18" s="1036"/>
      <c r="D18" s="1118"/>
      <c r="E18" s="1453">
        <f>$O$293</f>
        <v>0</v>
      </c>
      <c r="F18" s="3804" t="str">
        <f>$A$297</f>
        <v>The proposed site does not have either of the Community Designations listed above; therefore, XI is N/Ap</v>
      </c>
      <c r="G18" s="3805"/>
      <c r="H18" s="3805"/>
      <c r="I18" s="3805"/>
      <c r="J18" s="3805"/>
      <c r="K18" s="3805"/>
      <c r="L18" s="3805"/>
      <c r="M18" s="3805"/>
      <c r="N18" s="3805"/>
      <c r="O18" s="3806"/>
      <c r="P18" s="2637"/>
      <c r="Q18" s="3746"/>
      <c r="R18" s="3747"/>
      <c r="S18" s="3747"/>
    </row>
    <row r="19" spans="1:19" s="42" customFormat="1" ht="11.25" customHeight="1">
      <c r="A19" s="1117" t="s">
        <v>4724</v>
      </c>
      <c r="B19" s="923" t="s">
        <v>4725</v>
      </c>
      <c r="C19" s="1036"/>
      <c r="D19" s="1118"/>
      <c r="E19" s="1455">
        <f>$O$301</f>
        <v>0</v>
      </c>
      <c r="F19" s="3804" t="str">
        <f>$A$312</f>
        <v>The development is not a phased development; therefore, XIII.A. is N/Ap.</v>
      </c>
      <c r="G19" s="3805"/>
      <c r="H19" s="3805"/>
      <c r="I19" s="3805"/>
      <c r="J19" s="3805"/>
      <c r="K19" s="3805"/>
      <c r="L19" s="3805"/>
      <c r="M19" s="3805"/>
      <c r="N19" s="3805"/>
      <c r="O19" s="3806"/>
      <c r="P19" s="2637"/>
      <c r="Q19" s="3746"/>
      <c r="R19" s="3747"/>
      <c r="S19" s="3747"/>
    </row>
    <row r="20" spans="1:19" s="42" customFormat="1" ht="11.25" customHeight="1">
      <c r="A20" s="1117" t="s">
        <v>4739</v>
      </c>
      <c r="B20" s="923" t="s">
        <v>4726</v>
      </c>
      <c r="C20" s="1036"/>
      <c r="D20" s="1118"/>
      <c r="E20" s="1453">
        <f>$O$316</f>
        <v>4</v>
      </c>
      <c r="F20" s="3807" t="str">
        <f>$A$329</f>
        <v xml:space="preserve">The applicant has claimed 4 points above. If funded, this development would be only the second LIHTC development to be funded in the City of Hartwell political jurisdiction. In the 2007 funding round, Juniper Court (2007-043) was funded in the County of Hart. It was confirmed by the core application that this development was outside of the Hartwell city limits and solely in the boundaries of the county. The development has since been annexed into the city. The only other develolment that has been funded that is in the city limits of Hartwell is Chandler Trace (2017-069). Therefore, we are claiming 4 points in XIII. PREVIOUS POINTS since the City of Hartwell has only received one (1) 9% credit award in the last 15 DCA Housing Credit Competitive Rounds. </v>
      </c>
      <c r="G20" s="3808"/>
      <c r="H20" s="3808"/>
      <c r="I20" s="3808"/>
      <c r="J20" s="3808"/>
      <c r="K20" s="3808"/>
      <c r="L20" s="3808"/>
      <c r="M20" s="3808"/>
      <c r="N20" s="3808"/>
      <c r="O20" s="3809"/>
      <c r="P20" s="2637"/>
      <c r="Q20" s="3746"/>
      <c r="R20" s="3747"/>
      <c r="S20" s="3747"/>
    </row>
    <row r="21" spans="1:19" s="42" customFormat="1" ht="11.25" customHeight="1">
      <c r="A21" s="1123" t="s">
        <v>3785</v>
      </c>
      <c r="B21" s="1124" t="s">
        <v>3817</v>
      </c>
      <c r="C21" s="1125"/>
      <c r="D21" s="1126"/>
      <c r="E21" s="1456">
        <f>$O$364</f>
        <v>1</v>
      </c>
      <c r="F21" s="3804" t="str">
        <f>$A$375</f>
        <v xml:space="preserve">We have received a letter of support from the primary contact from the Hartwell GICH Team for The Pointe at St. Martin. We have also received the letter of support from the Mayor of Hartwell in support of the development. </v>
      </c>
      <c r="G21" s="3805"/>
      <c r="H21" s="3805"/>
      <c r="I21" s="3805"/>
      <c r="J21" s="3805"/>
      <c r="K21" s="3805"/>
      <c r="L21" s="3805"/>
      <c r="M21" s="3805"/>
      <c r="N21" s="3805"/>
      <c r="O21" s="3806"/>
      <c r="P21" s="2637"/>
      <c r="Q21" s="3746"/>
      <c r="R21" s="3747"/>
      <c r="S21" s="3747"/>
    </row>
    <row r="22" spans="1:19" s="42" customFormat="1" ht="11.25" customHeight="1">
      <c r="A22" s="1117" t="s">
        <v>3786</v>
      </c>
      <c r="B22" s="923" t="s">
        <v>3818</v>
      </c>
      <c r="C22" s="1036"/>
      <c r="D22" s="1118"/>
      <c r="E22" s="1453">
        <f>$O$379</f>
        <v>2</v>
      </c>
      <c r="F22" s="3804" t="str">
        <f>$A$411</f>
        <v xml:space="preserve">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 The commitment included within the application is from United Bank which is a commecial bank. Per the DCA Q&amp;A dated 2-27-20, "a commercial bank is an elegible lender/grantor under scoring item #10 so long as all requirements listed under Section XVI. Favorable Financing are met." </v>
      </c>
      <c r="G22" s="3805"/>
      <c r="H22" s="3805"/>
      <c r="I22" s="3805"/>
      <c r="J22" s="3805"/>
      <c r="K22" s="3805"/>
      <c r="L22" s="3805"/>
      <c r="M22" s="3805"/>
      <c r="N22" s="3805"/>
      <c r="O22" s="3806"/>
      <c r="P22" s="2637"/>
      <c r="Q22" s="3746"/>
      <c r="R22" s="3747"/>
      <c r="S22" s="3747"/>
    </row>
    <row r="23" spans="1:19" s="42" customFormat="1" ht="11.25" customHeight="1">
      <c r="A23" s="1119" t="s">
        <v>3784</v>
      </c>
      <c r="B23" s="1120" t="s">
        <v>3819</v>
      </c>
      <c r="C23" s="1121"/>
      <c r="D23" s="1122"/>
      <c r="E23" s="1457">
        <f>$O$415</f>
        <v>0</v>
      </c>
      <c r="F23" s="3852" t="str">
        <f>$A$431</f>
        <v xml:space="preserve">Section XVIII. Historic Preservation is not applicable. </v>
      </c>
      <c r="G23" s="3853"/>
      <c r="H23" s="3853"/>
      <c r="I23" s="3853"/>
      <c r="J23" s="3853"/>
      <c r="K23" s="3853"/>
      <c r="L23" s="3853"/>
      <c r="M23" s="3853"/>
      <c r="N23" s="3853"/>
      <c r="O23" s="3854"/>
      <c r="P23" s="2638"/>
      <c r="Q23" s="3746"/>
      <c r="R23" s="3747"/>
      <c r="S23" s="3747"/>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5"/>
      <c r="H25" s="172" t="s">
        <v>4349</v>
      </c>
      <c r="M25" s="237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4285</v>
      </c>
      <c r="D27" s="48"/>
      <c r="E27" s="48"/>
      <c r="F27" s="2385"/>
      <c r="M27" s="6"/>
      <c r="N27" s="64" t="s">
        <v>1936</v>
      </c>
    </row>
    <row r="28" spans="1:19" s="43" customFormat="1" ht="11.25" customHeight="1">
      <c r="A28" s="178"/>
      <c r="B28" s="1429" t="s">
        <v>1939</v>
      </c>
      <c r="C28" s="110" t="s">
        <v>4288</v>
      </c>
      <c r="D28" s="48"/>
      <c r="E28" s="48"/>
      <c r="F28" s="2385"/>
      <c r="H28" s="172" t="s">
        <v>3481</v>
      </c>
      <c r="J28" s="49"/>
      <c r="M28" s="6"/>
      <c r="N28" s="388" t="s">
        <v>1939</v>
      </c>
      <c r="O28" s="2282">
        <v>0</v>
      </c>
      <c r="P28" s="1085">
        <f>F36</f>
        <v>0</v>
      </c>
    </row>
    <row r="29" spans="1:19" s="43" customFormat="1" ht="11.25" customHeight="1">
      <c r="A29" s="178"/>
      <c r="B29" s="1429" t="s">
        <v>1941</v>
      </c>
      <c r="C29" s="110" t="s">
        <v>4484</v>
      </c>
      <c r="D29" s="48"/>
      <c r="E29" s="48"/>
      <c r="F29" s="2385"/>
      <c r="H29" s="172" t="s">
        <v>4286</v>
      </c>
      <c r="J29" s="49"/>
      <c r="M29" s="6"/>
      <c r="N29" s="388" t="s">
        <v>1941</v>
      </c>
      <c r="O29" s="2283">
        <v>0</v>
      </c>
      <c r="P29" s="1422">
        <f>J36</f>
        <v>0</v>
      </c>
    </row>
    <row r="30" spans="1:19" s="43" customFormat="1" ht="11.25" customHeight="1">
      <c r="A30" s="178"/>
      <c r="B30" s="1429" t="s">
        <v>2468</v>
      </c>
      <c r="C30" s="110" t="s">
        <v>4287</v>
      </c>
      <c r="D30" s="48"/>
      <c r="E30" s="48"/>
      <c r="F30" s="2385"/>
      <c r="H30" s="172" t="s">
        <v>4291</v>
      </c>
      <c r="J30" s="49"/>
      <c r="M30" s="6"/>
      <c r="N30" s="388" t="s">
        <v>2468</v>
      </c>
      <c r="O30" s="2284">
        <v>0</v>
      </c>
      <c r="P30" s="2639"/>
    </row>
    <row r="31" spans="1:19" s="43" customFormat="1" ht="11.25" customHeight="1">
      <c r="C31" s="3730" t="s">
        <v>4458</v>
      </c>
      <c r="D31" s="3731"/>
      <c r="E31" s="3731"/>
      <c r="F31" s="3731"/>
      <c r="G31" s="3731"/>
      <c r="H31" s="3731"/>
      <c r="I31" s="3731"/>
      <c r="J31" s="3731"/>
      <c r="K31" s="3731"/>
      <c r="L31" s="3731"/>
      <c r="M31" s="3731"/>
      <c r="N31" s="3731"/>
      <c r="O31" s="3731"/>
      <c r="P31" s="3732"/>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5"/>
      <c r="H33" s="172" t="s">
        <v>2646</v>
      </c>
      <c r="J33" s="49"/>
      <c r="M33" s="6"/>
      <c r="N33" s="64" t="s">
        <v>1938</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3515" t="s">
        <v>6981</v>
      </c>
      <c r="B35" s="3515"/>
      <c r="C35" s="3515"/>
      <c r="D35" s="3515"/>
      <c r="E35" s="3515"/>
      <c r="F35" s="1420" t="s">
        <v>3810</v>
      </c>
      <c r="G35" s="3844" t="s">
        <v>6983</v>
      </c>
      <c r="H35" s="3844"/>
      <c r="I35" s="3844"/>
      <c r="J35" s="1420" t="s">
        <v>3810</v>
      </c>
      <c r="K35" s="3848" t="s">
        <v>6982</v>
      </c>
      <c r="L35" s="3848"/>
      <c r="M35" s="3848"/>
      <c r="N35" s="3848"/>
      <c r="O35" s="3842" t="s">
        <v>3810</v>
      </c>
      <c r="P35" s="3843"/>
      <c r="R35" s="442"/>
      <c r="S35" s="157"/>
    </row>
    <row r="36" spans="1:20" s="42" customFormat="1" ht="11.25" customHeight="1">
      <c r="A36" s="3841"/>
      <c r="B36" s="3841"/>
      <c r="C36" s="3841"/>
      <c r="D36" s="3841"/>
      <c r="E36" s="3841"/>
      <c r="F36" s="76">
        <f>SUM(F37:F48)</f>
        <v>0</v>
      </c>
      <c r="G36" s="3845"/>
      <c r="H36" s="3846"/>
      <c r="I36" s="3847"/>
      <c r="J36" s="76">
        <f>SUM(J37:J48)</f>
        <v>0</v>
      </c>
      <c r="K36" s="3849"/>
      <c r="L36" s="3850"/>
      <c r="M36" s="3850"/>
      <c r="N36" s="3851"/>
      <c r="O36" s="3832">
        <f>SUM(O37:O48)</f>
        <v>0</v>
      </c>
      <c r="P36" s="3833"/>
      <c r="Q36" s="442"/>
      <c r="R36" s="157"/>
    </row>
    <row r="37" spans="1:20" s="42" customFormat="1" ht="24.75" customHeight="1">
      <c r="A37" s="3834">
        <v>1</v>
      </c>
      <c r="B37" s="3835"/>
      <c r="C37" s="3835"/>
      <c r="D37" s="3835"/>
      <c r="E37" s="3836"/>
      <c r="F37" s="2640"/>
      <c r="G37" s="3834">
        <v>1</v>
      </c>
      <c r="H37" s="3835"/>
      <c r="I37" s="3836"/>
      <c r="J37" s="844" t="s">
        <v>1690</v>
      </c>
      <c r="K37" s="3837">
        <v>1</v>
      </c>
      <c r="L37" s="3838"/>
      <c r="M37" s="3838"/>
      <c r="N37" s="3838"/>
      <c r="O37" s="3839" t="s">
        <v>1690</v>
      </c>
      <c r="P37" s="3840"/>
      <c r="Q37" s="440" t="s">
        <v>1228</v>
      </c>
      <c r="R37" s="157"/>
    </row>
    <row r="38" spans="1:20" s="42" customFormat="1" ht="24.75" customHeight="1">
      <c r="A38" s="3791">
        <v>2</v>
      </c>
      <c r="B38" s="3792"/>
      <c r="C38" s="3792"/>
      <c r="D38" s="3792"/>
      <c r="E38" s="3793"/>
      <c r="F38" s="2641"/>
      <c r="G38" s="3791">
        <v>2</v>
      </c>
      <c r="H38" s="3792"/>
      <c r="I38" s="3793"/>
      <c r="J38" s="2641"/>
      <c r="K38" s="3794">
        <v>2</v>
      </c>
      <c r="L38" s="3795"/>
      <c r="M38" s="3795"/>
      <c r="N38" s="3795"/>
      <c r="O38" s="3802"/>
      <c r="P38" s="3803"/>
      <c r="Q38" s="441"/>
      <c r="R38" s="157"/>
    </row>
    <row r="39" spans="1:20" s="42" customFormat="1" ht="24.75" customHeight="1">
      <c r="A39" s="3791">
        <v>3</v>
      </c>
      <c r="B39" s="3792"/>
      <c r="C39" s="3792"/>
      <c r="D39" s="3792"/>
      <c r="E39" s="3793"/>
      <c r="F39" s="2641"/>
      <c r="G39" s="3791">
        <v>3</v>
      </c>
      <c r="H39" s="3792"/>
      <c r="I39" s="3793"/>
      <c r="J39" s="1127" t="s">
        <v>2802</v>
      </c>
      <c r="K39" s="3794">
        <v>3</v>
      </c>
      <c r="L39" s="3795"/>
      <c r="M39" s="3795"/>
      <c r="N39" s="3795"/>
      <c r="O39" s="3800" t="s">
        <v>2802</v>
      </c>
      <c r="P39" s="3801"/>
      <c r="Q39" s="3933" t="s">
        <v>4289</v>
      </c>
      <c r="R39" s="3934"/>
      <c r="S39" s="1423"/>
      <c r="T39" s="1423"/>
    </row>
    <row r="40" spans="1:20" s="42" customFormat="1" ht="24.75" customHeight="1">
      <c r="A40" s="3791">
        <v>4</v>
      </c>
      <c r="B40" s="3792"/>
      <c r="C40" s="3792"/>
      <c r="D40" s="3792"/>
      <c r="E40" s="3793"/>
      <c r="F40" s="2641"/>
      <c r="G40" s="3791">
        <v>4</v>
      </c>
      <c r="H40" s="3792"/>
      <c r="I40" s="3793"/>
      <c r="J40" s="2641"/>
      <c r="K40" s="3794">
        <v>4</v>
      </c>
      <c r="L40" s="3795"/>
      <c r="M40" s="3795"/>
      <c r="N40" s="3795"/>
      <c r="O40" s="3800" t="s">
        <v>2802</v>
      </c>
      <c r="P40" s="3801"/>
      <c r="Q40" s="3933"/>
      <c r="R40" s="3934"/>
      <c r="S40" s="1423"/>
      <c r="T40" s="1423"/>
    </row>
    <row r="41" spans="1:20" s="42" customFormat="1" ht="24.75" customHeight="1">
      <c r="A41" s="3791">
        <v>5</v>
      </c>
      <c r="B41" s="3792"/>
      <c r="C41" s="3792"/>
      <c r="D41" s="3792"/>
      <c r="E41" s="3793"/>
      <c r="F41" s="2641"/>
      <c r="G41" s="3791">
        <v>5</v>
      </c>
      <c r="H41" s="3792"/>
      <c r="I41" s="3793"/>
      <c r="J41" s="1127" t="s">
        <v>3445</v>
      </c>
      <c r="K41" s="3794">
        <v>5</v>
      </c>
      <c r="L41" s="3795"/>
      <c r="M41" s="3795"/>
      <c r="N41" s="3795"/>
      <c r="O41" s="3802"/>
      <c r="P41" s="3803"/>
      <c r="Q41" s="3933"/>
      <c r="R41" s="3934"/>
      <c r="S41" s="1423"/>
      <c r="T41" s="1423"/>
    </row>
    <row r="42" spans="1:20" s="42" customFormat="1" ht="24" customHeight="1">
      <c r="A42" s="3791">
        <v>6</v>
      </c>
      <c r="B42" s="3792"/>
      <c r="C42" s="3792"/>
      <c r="D42" s="3792"/>
      <c r="E42" s="3793"/>
      <c r="F42" s="2641"/>
      <c r="G42" s="3791">
        <v>6</v>
      </c>
      <c r="H42" s="3792"/>
      <c r="I42" s="3793"/>
      <c r="J42" s="2641"/>
      <c r="K42" s="3794">
        <v>6</v>
      </c>
      <c r="L42" s="3795"/>
      <c r="M42" s="3795"/>
      <c r="N42" s="3795"/>
      <c r="O42" s="3802"/>
      <c r="P42" s="3803"/>
      <c r="Q42" s="3933"/>
      <c r="R42" s="3934"/>
    </row>
    <row r="43" spans="1:20" s="42" customFormat="1" ht="10.5" customHeight="1">
      <c r="A43" s="3791">
        <v>7</v>
      </c>
      <c r="B43" s="3792"/>
      <c r="C43" s="3792"/>
      <c r="D43" s="3792"/>
      <c r="E43" s="3793"/>
      <c r="F43" s="2641"/>
      <c r="G43" s="3791">
        <v>7</v>
      </c>
      <c r="H43" s="3792"/>
      <c r="I43" s="3793"/>
      <c r="J43" s="1127" t="s">
        <v>3446</v>
      </c>
      <c r="K43" s="3794">
        <v>7</v>
      </c>
      <c r="L43" s="3795"/>
      <c r="M43" s="3795"/>
      <c r="N43" s="3795"/>
      <c r="O43" s="3802"/>
      <c r="P43" s="3803"/>
      <c r="Q43" s="157"/>
      <c r="R43" s="157"/>
    </row>
    <row r="44" spans="1:20" s="42" customFormat="1" ht="10.5" customHeight="1">
      <c r="A44" s="3791">
        <v>8</v>
      </c>
      <c r="B44" s="3792"/>
      <c r="C44" s="3792"/>
      <c r="D44" s="3792"/>
      <c r="E44" s="3793"/>
      <c r="F44" s="2641"/>
      <c r="G44" s="3791">
        <v>8</v>
      </c>
      <c r="H44" s="3792"/>
      <c r="I44" s="3793"/>
      <c r="J44" s="2641"/>
      <c r="K44" s="3794">
        <v>8</v>
      </c>
      <c r="L44" s="3795"/>
      <c r="M44" s="3795"/>
      <c r="N44" s="3795"/>
      <c r="O44" s="3802"/>
      <c r="P44" s="3803"/>
      <c r="Q44" s="157"/>
      <c r="R44" s="157"/>
    </row>
    <row r="45" spans="1:20" s="42" customFormat="1" ht="11.25" customHeight="1">
      <c r="A45" s="3791">
        <v>9</v>
      </c>
      <c r="B45" s="3792"/>
      <c r="C45" s="3792"/>
      <c r="D45" s="3792"/>
      <c r="E45" s="3793"/>
      <c r="F45" s="2641"/>
      <c r="G45" s="3791">
        <v>9</v>
      </c>
      <c r="H45" s="3792"/>
      <c r="I45" s="3793"/>
      <c r="J45" s="1127" t="s">
        <v>3447</v>
      </c>
      <c r="K45" s="3794">
        <v>9</v>
      </c>
      <c r="L45" s="3795"/>
      <c r="M45" s="3795"/>
      <c r="N45" s="3795"/>
      <c r="O45" s="3802"/>
      <c r="P45" s="3803"/>
      <c r="Q45" s="157"/>
      <c r="R45" s="157"/>
    </row>
    <row r="46" spans="1:20" s="42" customFormat="1" ht="11.25" customHeight="1">
      <c r="A46" s="3791">
        <v>10</v>
      </c>
      <c r="B46" s="3792"/>
      <c r="C46" s="3792"/>
      <c r="D46" s="3792"/>
      <c r="E46" s="3793"/>
      <c r="F46" s="2641"/>
      <c r="G46" s="3791">
        <v>10</v>
      </c>
      <c r="H46" s="3792"/>
      <c r="I46" s="3793"/>
      <c r="J46" s="2641"/>
      <c r="K46" s="3794">
        <v>10</v>
      </c>
      <c r="L46" s="3795"/>
      <c r="M46" s="3795"/>
      <c r="N46" s="3795"/>
      <c r="O46" s="3802"/>
      <c r="P46" s="3803"/>
      <c r="Q46" s="157"/>
    </row>
    <row r="47" spans="1:20" s="42" customFormat="1" ht="11.25" customHeight="1">
      <c r="A47" s="3791">
        <v>11</v>
      </c>
      <c r="B47" s="3792"/>
      <c r="C47" s="3792"/>
      <c r="D47" s="3792"/>
      <c r="E47" s="3793"/>
      <c r="F47" s="2641"/>
      <c r="G47" s="3791">
        <v>11</v>
      </c>
      <c r="H47" s="3792"/>
      <c r="I47" s="3793"/>
      <c r="J47" s="1127" t="s">
        <v>3448</v>
      </c>
      <c r="K47" s="3791">
        <v>11</v>
      </c>
      <c r="L47" s="3792"/>
      <c r="M47" s="3792"/>
      <c r="N47" s="3793"/>
      <c r="O47" s="3802"/>
      <c r="P47" s="3803"/>
      <c r="Q47" s="157"/>
      <c r="R47" s="157"/>
    </row>
    <row r="48" spans="1:20" s="42" customFormat="1" ht="11.25" customHeight="1">
      <c r="A48" s="3815">
        <v>12</v>
      </c>
      <c r="B48" s="3816"/>
      <c r="C48" s="3816"/>
      <c r="D48" s="3816"/>
      <c r="E48" s="3817"/>
      <c r="F48" s="2642"/>
      <c r="G48" s="3815">
        <v>12</v>
      </c>
      <c r="H48" s="3816"/>
      <c r="I48" s="3817"/>
      <c r="J48" s="2642"/>
      <c r="K48" s="3815">
        <v>12</v>
      </c>
      <c r="L48" s="3816"/>
      <c r="M48" s="3816"/>
      <c r="N48" s="3817"/>
      <c r="O48" s="3938"/>
      <c r="P48" s="3939"/>
    </row>
    <row r="49" spans="1:18" s="43" customFormat="1" ht="3" customHeight="1" thickBot="1">
      <c r="D49" s="39"/>
      <c r="E49" s="36"/>
      <c r="F49" s="846"/>
      <c r="G49" s="846"/>
      <c r="H49" s="846"/>
      <c r="I49" s="846"/>
      <c r="J49" s="856"/>
      <c r="K49" s="856"/>
      <c r="L49" s="856"/>
      <c r="M49" s="60"/>
      <c r="N49" s="846"/>
      <c r="O49" s="2378"/>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1936</v>
      </c>
      <c r="B52" s="864" t="s">
        <v>2557</v>
      </c>
      <c r="E52" s="57"/>
      <c r="G52" s="87"/>
      <c r="H52" s="55" t="s">
        <v>4439</v>
      </c>
      <c r="J52" s="1500"/>
      <c r="K52" s="1500" t="str">
        <f>'Part I-Project Information'!$K$94</f>
        <v>Income Averaging</v>
      </c>
      <c r="M52" s="846"/>
      <c r="N52" s="7"/>
      <c r="Q52" s="7"/>
      <c r="R52" s="374"/>
    </row>
    <row r="53" spans="1:18" s="102" customFormat="1" ht="9" customHeight="1">
      <c r="A53" s="138"/>
      <c r="B53" s="3935" t="s">
        <v>4293</v>
      </c>
      <c r="C53" s="3935"/>
      <c r="D53" s="3935"/>
      <c r="E53" s="3935"/>
      <c r="F53" s="3935"/>
      <c r="G53" s="3935"/>
      <c r="H53" s="3935"/>
      <c r="I53" s="3935"/>
      <c r="J53" s="3935"/>
      <c r="K53" s="3935"/>
      <c r="L53" s="3935"/>
      <c r="M53" s="846"/>
      <c r="N53" s="7"/>
      <c r="Q53" s="7"/>
      <c r="R53" s="374"/>
    </row>
    <row r="54" spans="1:18" s="102" customFormat="1" ht="13.5" customHeight="1">
      <c r="B54" s="3935"/>
      <c r="C54" s="3935"/>
      <c r="D54" s="3935"/>
      <c r="E54" s="3935"/>
      <c r="F54" s="3935"/>
      <c r="G54" s="3935"/>
      <c r="H54" s="3935"/>
      <c r="I54" s="3935"/>
      <c r="J54" s="3935"/>
      <c r="K54" s="3935"/>
      <c r="L54" s="3935"/>
      <c r="M54" s="855">
        <v>2</v>
      </c>
      <c r="N54" s="388" t="s">
        <v>1936</v>
      </c>
      <c r="O54" s="869">
        <f>MIN($M54, O55+O56)</f>
        <v>2</v>
      </c>
      <c r="P54" s="869">
        <f>MIN($M54, P55+P56)</f>
        <v>0</v>
      </c>
    </row>
    <row r="55" spans="1:18" s="102" customFormat="1" ht="13.5" customHeight="1">
      <c r="A55" s="138"/>
      <c r="B55" s="1145" t="s">
        <v>1939</v>
      </c>
      <c r="C55" s="1430" t="s">
        <v>4294</v>
      </c>
      <c r="D55" s="52"/>
      <c r="H55" s="52" t="s">
        <v>4295</v>
      </c>
      <c r="I55" s="1427"/>
      <c r="K55" s="1502">
        <f>'Part VI-Revenues &amp; Expenses'!B49</f>
        <v>58</v>
      </c>
      <c r="L55" s="3830" t="str">
        <f>IF(AND(O55&gt;0,O56&gt;0), "CHOOSE EITHER A OR B, NOT BOTH!", "")</f>
        <v/>
      </c>
      <c r="M55" s="995">
        <v>2</v>
      </c>
      <c r="N55" s="174" t="s">
        <v>1939</v>
      </c>
      <c r="O55" s="2286">
        <v>2</v>
      </c>
      <c r="P55" s="2643"/>
      <c r="Q55" s="1477" t="str">
        <f>IF(OR($O55=$M55,$O55=0,$O55=""),"","*CHECK!*")</f>
        <v/>
      </c>
      <c r="R55" s="974" t="s">
        <v>4767</v>
      </c>
    </row>
    <row r="56" spans="1:18" s="102" customFormat="1" ht="13.5" customHeight="1">
      <c r="A56" s="1428" t="s">
        <v>3238</v>
      </c>
      <c r="B56" s="1145" t="s">
        <v>1941</v>
      </c>
      <c r="C56" s="1430" t="s">
        <v>4296</v>
      </c>
      <c r="D56" s="52"/>
      <c r="I56" s="1427"/>
      <c r="K56" s="52"/>
      <c r="L56" s="3830"/>
      <c r="M56" s="995">
        <v>2</v>
      </c>
      <c r="N56" s="174" t="s">
        <v>1941</v>
      </c>
      <c r="O56" s="2287"/>
      <c r="P56" s="2644"/>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3482</v>
      </c>
      <c r="E58" s="423"/>
      <c r="H58" s="3828" t="s">
        <v>4297</v>
      </c>
      <c r="I58" s="3829"/>
      <c r="J58" s="1433" t="s">
        <v>4298</v>
      </c>
      <c r="M58" s="855">
        <v>3</v>
      </c>
      <c r="N58" s="160" t="s">
        <v>1938</v>
      </c>
      <c r="O58" s="869">
        <f>IF(AND(O59="Yes", O60="Yes"),$M$58,0)</f>
        <v>0</v>
      </c>
      <c r="P58" s="869">
        <f>IF(AND(P59="Yes", P60="Yes"),$M$58,0)</f>
        <v>0</v>
      </c>
    </row>
    <row r="59" spans="1:18" s="422" customFormat="1" ht="13.5" customHeight="1">
      <c r="A59" s="421"/>
      <c r="B59" s="1145" t="s">
        <v>1939</v>
      </c>
      <c r="C59" s="1431">
        <v>0.3</v>
      </c>
      <c r="D59" s="923" t="s">
        <v>3483</v>
      </c>
      <c r="E59" s="423"/>
      <c r="F59" s="843"/>
      <c r="H59" s="2288"/>
      <c r="I59" s="2645"/>
      <c r="J59" s="1432">
        <f>'Part VI-Revenues &amp; Expenses'!P65</f>
        <v>60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3707</v>
      </c>
      <c r="E60" s="899"/>
      <c r="F60" s="843"/>
      <c r="I60" s="867"/>
      <c r="J60" s="867"/>
      <c r="K60" s="867"/>
      <c r="L60" s="867"/>
      <c r="M60" s="867"/>
      <c r="N60" s="388" t="s">
        <v>1941</v>
      </c>
      <c r="O60" s="2258" t="s">
        <v>2889</v>
      </c>
      <c r="P60" s="520"/>
    </row>
    <row r="61" spans="1:18" s="43" customFormat="1" ht="10.5" customHeight="1">
      <c r="A61" s="42"/>
      <c r="B61" s="97" t="s">
        <v>1820</v>
      </c>
      <c r="C61" s="422"/>
      <c r="D61" s="85"/>
      <c r="E61" s="2381"/>
      <c r="F61" s="2381"/>
      <c r="G61" s="2381"/>
      <c r="H61" s="2381"/>
      <c r="I61" s="2381"/>
      <c r="J61" s="2381"/>
      <c r="K61" s="2381"/>
      <c r="L61" s="2381"/>
      <c r="M61" s="2381"/>
      <c r="N61" s="74"/>
      <c r="O61" s="70"/>
      <c r="P61" s="2374"/>
      <c r="Q61" s="422"/>
    </row>
    <row r="62" spans="1:18" s="43" customFormat="1" ht="22.5" customHeight="1">
      <c r="A62" s="3433"/>
      <c r="B62" s="3434"/>
      <c r="C62" s="3434"/>
      <c r="D62" s="3434"/>
      <c r="E62" s="3434"/>
      <c r="F62" s="3434"/>
      <c r="G62" s="3434"/>
      <c r="H62" s="3434"/>
      <c r="I62" s="3434"/>
      <c r="J62" s="3434"/>
      <c r="K62" s="3434"/>
      <c r="L62" s="3434"/>
      <c r="M62" s="3434"/>
      <c r="N62" s="3434"/>
      <c r="O62" s="3434"/>
      <c r="P62" s="3435"/>
      <c r="Q62" s="440"/>
    </row>
    <row r="63" spans="1:18" ht="7.5" customHeight="1" thickBot="1"/>
    <row r="64" spans="1:18" s="43" customFormat="1" ht="12.6" customHeight="1" thickBot="1">
      <c r="A64" s="152" t="s">
        <v>724</v>
      </c>
      <c r="B64" s="105" t="s">
        <v>3781</v>
      </c>
      <c r="D64" s="41"/>
      <c r="I64" s="3134" t="s">
        <v>3580</v>
      </c>
      <c r="J64" s="3134"/>
      <c r="K64" s="3134"/>
      <c r="L64" s="980"/>
      <c r="M64" s="237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8"/>
      <c r="P65" s="3"/>
    </row>
    <row r="66" spans="1:21" s="102" customFormat="1" ht="12" customHeight="1">
      <c r="A66" s="138"/>
      <c r="B66" s="36" t="s">
        <v>3637</v>
      </c>
      <c r="D66" s="33"/>
      <c r="N66" s="455"/>
      <c r="O66" s="2256" t="s">
        <v>2886</v>
      </c>
      <c r="P66" s="518"/>
    </row>
    <row r="67" spans="1:21" s="102" customFormat="1" ht="12" customHeight="1">
      <c r="A67" s="138" t="s">
        <v>1936</v>
      </c>
      <c r="B67" s="165" t="s">
        <v>1827</v>
      </c>
      <c r="C67" s="4"/>
      <c r="D67" s="4"/>
      <c r="F67" s="295"/>
      <c r="H67" s="821" t="s">
        <v>2638</v>
      </c>
      <c r="I67" s="3818" t="s">
        <v>4727</v>
      </c>
      <c r="J67" s="3819"/>
      <c r="K67" s="3819"/>
      <c r="L67" s="3820"/>
      <c r="M67" s="72">
        <v>10</v>
      </c>
      <c r="N67" s="174" t="s">
        <v>1936</v>
      </c>
      <c r="O67" s="2286">
        <v>10</v>
      </c>
      <c r="P67" s="2643"/>
      <c r="Q67" s="1477" t="str">
        <f>IF(OR($O67=$M67,$O67=0,$O67=""),"","*CHECK!*")</f>
        <v/>
      </c>
      <c r="R67" s="974" t="s">
        <v>4767</v>
      </c>
    </row>
    <row r="68" spans="1:21" s="102" customFormat="1" ht="12.6" customHeight="1">
      <c r="A68" s="138" t="s">
        <v>1938</v>
      </c>
      <c r="B68" s="165" t="s">
        <v>3629</v>
      </c>
      <c r="D68" s="1063"/>
      <c r="F68" s="1501"/>
      <c r="H68" s="821" t="s">
        <v>3729</v>
      </c>
      <c r="I68" s="3821"/>
      <c r="J68" s="3822"/>
      <c r="K68" s="3822"/>
      <c r="L68" s="3823"/>
      <c r="M68" s="2399" t="s">
        <v>1212</v>
      </c>
      <c r="N68" s="455" t="s">
        <v>1938</v>
      </c>
      <c r="O68" s="2287">
        <v>0</v>
      </c>
      <c r="P68" s="2644"/>
      <c r="R68" s="974" t="s">
        <v>4767</v>
      </c>
    </row>
    <row r="69" spans="1:21" s="43" customFormat="1" ht="11.25" customHeight="1" thickBot="1">
      <c r="A69" s="42"/>
      <c r="B69" s="1132" t="s">
        <v>3567</v>
      </c>
      <c r="C69" s="42"/>
      <c r="D69" s="48"/>
      <c r="E69" s="48"/>
      <c r="F69" s="48"/>
      <c r="G69" s="48"/>
      <c r="H69" s="36"/>
      <c r="I69" s="3824"/>
      <c r="J69" s="3825"/>
      <c r="K69" s="3825"/>
      <c r="L69" s="3826"/>
      <c r="M69" s="46"/>
      <c r="N69" s="62"/>
      <c r="O69" s="3"/>
      <c r="P69" s="2378"/>
    </row>
    <row r="70" spans="1:21" s="43" customFormat="1" ht="90" customHeight="1" thickTop="1" thickBot="1">
      <c r="A70" s="3688" t="s">
        <v>7136</v>
      </c>
      <c r="B70" s="3689"/>
      <c r="C70" s="3689"/>
      <c r="D70" s="3689"/>
      <c r="E70" s="3689"/>
      <c r="F70" s="3689"/>
      <c r="G70" s="3689"/>
      <c r="H70" s="3689"/>
      <c r="I70" s="3689"/>
      <c r="J70" s="3689"/>
      <c r="K70" s="3689"/>
      <c r="L70" s="3689"/>
      <c r="M70" s="3689"/>
      <c r="N70" s="3689"/>
      <c r="O70" s="3689"/>
      <c r="P70" s="3690"/>
      <c r="Q70" s="1027" t="s">
        <v>1228</v>
      </c>
      <c r="R70" s="441"/>
    </row>
    <row r="71" spans="1:21" s="43" customFormat="1" ht="11.4" customHeight="1" thickTop="1">
      <c r="A71" s="42"/>
      <c r="B71" s="66" t="s">
        <v>1820</v>
      </c>
      <c r="C71" s="42"/>
      <c r="D71" s="136"/>
      <c r="E71" s="2381"/>
      <c r="F71" s="2381"/>
      <c r="G71" s="2381"/>
      <c r="H71" s="2381"/>
      <c r="I71" s="2381"/>
      <c r="J71" s="2381"/>
      <c r="K71" s="2381"/>
      <c r="L71" s="2381"/>
      <c r="M71" s="2381"/>
      <c r="N71" s="74"/>
      <c r="O71" s="70"/>
      <c r="P71" s="2374"/>
      <c r="Q71" s="422"/>
      <c r="R71" s="422"/>
    </row>
    <row r="72" spans="1:21" s="43" customFormat="1" ht="90" customHeight="1">
      <c r="A72" s="3433"/>
      <c r="B72" s="3434"/>
      <c r="C72" s="3434"/>
      <c r="D72" s="3434"/>
      <c r="E72" s="3434"/>
      <c r="F72" s="3434"/>
      <c r="G72" s="3434"/>
      <c r="H72" s="3434"/>
      <c r="I72" s="3434"/>
      <c r="J72" s="3434"/>
      <c r="K72" s="3434"/>
      <c r="L72" s="3434"/>
      <c r="M72" s="3434"/>
      <c r="N72" s="3434"/>
      <c r="O72" s="3434"/>
      <c r="P72" s="3435"/>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4">
        <v>6</v>
      </c>
      <c r="N74" s="455"/>
      <c r="O74" s="1041">
        <f>IF($J$75="Flexible",MIN($M74,MAX(O89,O95)),IF(AND($J$75="Rural",O103&gt;0),MIN($M103,O103),0))</f>
        <v>1</v>
      </c>
      <c r="P74" s="1041">
        <f>IF($J$75="Flexible",MIN($M74,MAX(P89,P95)),IF(AND($J$75="Rural",P103&gt;0),MIN($M103,P103),0))</f>
        <v>0</v>
      </c>
      <c r="Q74" s="109" t="s">
        <v>433</v>
      </c>
      <c r="R74" s="3768" t="s">
        <v>4520</v>
      </c>
      <c r="S74" s="3768"/>
      <c r="T74" s="3768"/>
      <c r="U74" s="3768"/>
    </row>
    <row r="75" spans="1:21" s="43" customFormat="1" ht="17.25" customHeight="1">
      <c r="A75" s="152"/>
      <c r="B75" s="110" t="s">
        <v>3708</v>
      </c>
      <c r="D75" s="41"/>
      <c r="H75" s="165" t="s">
        <v>2703</v>
      </c>
      <c r="I75" s="505"/>
      <c r="J75" s="503" t="str">
        <f>'Part I-Project Information'!$H$105</f>
        <v>Rural</v>
      </c>
      <c r="K75" s="48"/>
      <c r="M75" s="2374"/>
      <c r="N75" s="455"/>
      <c r="O75" s="973" t="s">
        <v>3450</v>
      </c>
      <c r="P75" s="973" t="s">
        <v>3451</v>
      </c>
      <c r="Q75" s="109"/>
      <c r="R75" s="3768"/>
      <c r="S75" s="3768"/>
      <c r="T75" s="3768"/>
      <c r="U75" s="3768"/>
    </row>
    <row r="76" spans="1:21" s="43" customFormat="1" ht="11.25" customHeight="1">
      <c r="A76" s="152"/>
      <c r="B76" s="372" t="s">
        <v>1939</v>
      </c>
      <c r="C76" s="36" t="s">
        <v>4304</v>
      </c>
      <c r="D76" s="1063"/>
      <c r="E76" s="102"/>
      <c r="F76" s="102"/>
      <c r="G76" s="102"/>
      <c r="H76" s="45"/>
      <c r="I76" s="49"/>
      <c r="J76" s="48"/>
      <c r="K76" s="48"/>
      <c r="L76" s="102"/>
      <c r="M76" s="2374"/>
      <c r="N76" s="455"/>
      <c r="O76" s="2256" t="s">
        <v>2886</v>
      </c>
      <c r="P76" s="518"/>
      <c r="Q76" s="109"/>
      <c r="R76" s="3768"/>
      <c r="S76" s="3768"/>
      <c r="T76" s="3768"/>
      <c r="U76" s="3768"/>
    </row>
    <row r="77" spans="1:21" s="43" customFormat="1" ht="11.25" customHeight="1">
      <c r="A77" s="152"/>
      <c r="B77" s="372" t="s">
        <v>1941</v>
      </c>
      <c r="C77" s="36" t="s">
        <v>4305</v>
      </c>
      <c r="D77" s="1063"/>
      <c r="E77" s="102"/>
      <c r="F77" s="102"/>
      <c r="G77" s="102"/>
      <c r="H77" s="45"/>
      <c r="I77" s="49"/>
      <c r="J77" s="48"/>
      <c r="K77" s="48"/>
      <c r="L77" s="102"/>
      <c r="M77" s="102"/>
      <c r="N77" s="455"/>
      <c r="O77" s="2257" t="s">
        <v>2886</v>
      </c>
      <c r="P77" s="519"/>
      <c r="Q77" s="109"/>
      <c r="R77" s="3768"/>
      <c r="S77" s="3768"/>
      <c r="T77" s="3768"/>
      <c r="U77" s="3768"/>
    </row>
    <row r="78" spans="1:21" s="43" customFormat="1" ht="11.25" customHeight="1">
      <c r="A78" s="152"/>
      <c r="B78" s="372" t="s">
        <v>2468</v>
      </c>
      <c r="C78" s="36" t="s">
        <v>4306</v>
      </c>
      <c r="D78" s="1063"/>
      <c r="E78" s="102"/>
      <c r="F78" s="102"/>
      <c r="G78" s="102"/>
      <c r="H78" s="45"/>
      <c r="I78" s="49"/>
      <c r="J78" s="48"/>
      <c r="K78" s="48"/>
      <c r="L78" s="102"/>
      <c r="M78" s="102"/>
      <c r="N78" s="455"/>
      <c r="O78" s="2257" t="s">
        <v>2886</v>
      </c>
      <c r="P78" s="519"/>
      <c r="Q78" s="109"/>
      <c r="R78" s="3768"/>
      <c r="S78" s="3768"/>
      <c r="T78" s="3768"/>
      <c r="U78" s="3768"/>
    </row>
    <row r="79" spans="1:21" s="43" customFormat="1" ht="11.25" customHeight="1">
      <c r="A79" s="152"/>
      <c r="B79" s="372" t="s">
        <v>1198</v>
      </c>
      <c r="C79" s="36" t="s">
        <v>4300</v>
      </c>
      <c r="D79" s="1063"/>
      <c r="E79" s="102"/>
      <c r="F79" s="102"/>
      <c r="G79" s="102"/>
      <c r="H79" s="45"/>
      <c r="I79" s="49"/>
      <c r="J79" s="48"/>
      <c r="K79" s="48"/>
      <c r="L79" s="102"/>
      <c r="M79" s="102"/>
      <c r="N79" s="455"/>
      <c r="O79" s="2258" t="s">
        <v>7062</v>
      </c>
      <c r="P79" s="520"/>
      <c r="Q79" s="109"/>
      <c r="R79" s="3768"/>
      <c r="S79" s="3768"/>
      <c r="T79" s="3768"/>
      <c r="U79" s="3768"/>
    </row>
    <row r="80" spans="1:21" s="43" customFormat="1" ht="3" customHeight="1">
      <c r="A80" s="152"/>
      <c r="B80" s="105"/>
      <c r="D80" s="41"/>
      <c r="H80" s="45"/>
      <c r="I80" s="49"/>
      <c r="J80" s="48"/>
      <c r="K80" s="48"/>
      <c r="M80" s="2374"/>
      <c r="N80" s="455"/>
      <c r="O80" s="3"/>
      <c r="P80" s="3"/>
      <c r="Q80" s="109"/>
      <c r="R80" s="3768"/>
      <c r="S80" s="3768"/>
      <c r="T80" s="3768"/>
      <c r="U80" s="3768"/>
    </row>
    <row r="81" spans="1:21" s="43" customFormat="1" ht="13.5" customHeight="1">
      <c r="A81" s="152"/>
      <c r="B81" s="110" t="s">
        <v>3714</v>
      </c>
      <c r="D81" s="41"/>
      <c r="F81" s="3788" t="s">
        <v>3536</v>
      </c>
      <c r="G81" s="3788"/>
      <c r="H81" s="3788"/>
      <c r="I81" s="3788"/>
      <c r="J81" s="3788" t="s">
        <v>3537</v>
      </c>
      <c r="K81" s="3788"/>
      <c r="L81" s="3788"/>
      <c r="M81" s="3788"/>
      <c r="N81" s="455"/>
      <c r="O81" s="3796" t="s">
        <v>4440</v>
      </c>
      <c r="P81" s="3797"/>
      <c r="Q81" s="109"/>
      <c r="R81" s="3768"/>
      <c r="S81" s="3768"/>
      <c r="T81" s="3768"/>
      <c r="U81" s="3768"/>
    </row>
    <row r="82" spans="1:21" s="43" customFormat="1" ht="12.75" customHeight="1">
      <c r="A82" s="152"/>
      <c r="C82" s="480" t="s">
        <v>3713</v>
      </c>
      <c r="D82" s="582"/>
      <c r="E82" s="268"/>
      <c r="F82" s="3769"/>
      <c r="G82" s="3770"/>
      <c r="H82" s="3798"/>
      <c r="I82" s="3799"/>
      <c r="J82" s="3769"/>
      <c r="K82" s="3770"/>
      <c r="L82" s="3798"/>
      <c r="M82" s="3799"/>
      <c r="N82" s="455"/>
      <c r="Q82" s="109"/>
      <c r="R82" s="3768"/>
      <c r="S82" s="3768"/>
      <c r="T82" s="3768"/>
      <c r="U82" s="3768"/>
    </row>
    <row r="83" spans="1:21" s="43" customFormat="1" ht="12.75" customHeight="1">
      <c r="A83" s="3895" t="s">
        <v>3809</v>
      </c>
      <c r="B83" s="3895"/>
      <c r="D83" s="1099" t="s">
        <v>3715</v>
      </c>
      <c r="E83" s="268"/>
      <c r="F83" s="3900"/>
      <c r="G83" s="3901"/>
      <c r="H83" s="3902"/>
      <c r="I83" s="3903"/>
      <c r="J83" s="3900"/>
      <c r="K83" s="3901"/>
      <c r="L83" s="3902"/>
      <c r="M83" s="3903"/>
      <c r="N83" s="455"/>
      <c r="O83" s="2289"/>
      <c r="P83" s="2646"/>
      <c r="Q83" s="109"/>
      <c r="R83" s="3768"/>
      <c r="S83" s="3768"/>
      <c r="T83" s="3768"/>
      <c r="U83" s="3768"/>
    </row>
    <row r="84" spans="1:21" s="43" customFormat="1" ht="12.75" customHeight="1">
      <c r="A84" s="3895"/>
      <c r="B84" s="3895"/>
      <c r="C84" s="480" t="s">
        <v>3779</v>
      </c>
      <c r="D84" s="582"/>
      <c r="E84" s="268"/>
      <c r="F84" s="3783"/>
      <c r="G84" s="3784"/>
      <c r="H84" s="3913"/>
      <c r="I84" s="3914"/>
      <c r="J84" s="3783"/>
      <c r="K84" s="3784"/>
      <c r="L84" s="3913"/>
      <c r="M84" s="3914"/>
      <c r="N84" s="455"/>
      <c r="O84" s="455"/>
      <c r="P84" s="455"/>
      <c r="Q84" s="109"/>
      <c r="R84" s="3768"/>
      <c r="S84" s="3768"/>
      <c r="T84" s="3768"/>
      <c r="U84" s="3768"/>
    </row>
    <row r="85" spans="1:21" s="43" customFormat="1" ht="12.75" customHeight="1">
      <c r="A85" s="3895"/>
      <c r="B85" s="3895"/>
      <c r="E85" s="1410" t="s">
        <v>3778</v>
      </c>
      <c r="F85" s="3789"/>
      <c r="G85" s="3790"/>
      <c r="H85" s="3896"/>
      <c r="I85" s="3897"/>
      <c r="J85" s="3789"/>
      <c r="K85" s="3790"/>
      <c r="L85" s="3896"/>
      <c r="M85" s="3897"/>
      <c r="N85" s="455"/>
      <c r="O85" s="2289"/>
      <c r="P85" s="2646"/>
      <c r="Q85" s="109"/>
      <c r="R85" s="3768"/>
      <c r="S85" s="3768"/>
      <c r="T85" s="3768"/>
      <c r="U85" s="3768"/>
    </row>
    <row r="86" spans="1:21" s="43" customFormat="1" ht="9" customHeight="1">
      <c r="A86" s="152"/>
      <c r="B86" s="105"/>
      <c r="D86" s="41"/>
      <c r="H86" s="45"/>
      <c r="I86" s="49"/>
      <c r="J86" s="48"/>
      <c r="K86" s="48"/>
      <c r="M86" s="2374"/>
      <c r="N86" s="455"/>
      <c r="O86" s="3"/>
      <c r="P86" s="3"/>
      <c r="Q86" s="109"/>
      <c r="R86" s="1062"/>
      <c r="S86" s="1062"/>
      <c r="T86" s="1062"/>
      <c r="U86" s="1062"/>
    </row>
    <row r="87" spans="1:21" s="43" customFormat="1" ht="12.6" customHeight="1">
      <c r="A87" s="504" t="s">
        <v>2694</v>
      </c>
      <c r="B87" s="105"/>
      <c r="D87" s="41"/>
      <c r="F87" s="61" t="s">
        <v>3568</v>
      </c>
      <c r="M87" s="2374"/>
      <c r="N87" s="2374"/>
      <c r="O87" s="2374"/>
      <c r="P87" s="2374"/>
      <c r="Q87" s="109"/>
      <c r="R87" s="1062"/>
      <c r="S87" s="1062"/>
      <c r="T87" s="1062"/>
      <c r="U87" s="1062"/>
    </row>
    <row r="88" spans="1:21" s="43" customFormat="1" ht="2.25" customHeight="1">
      <c r="A88" s="504"/>
      <c r="B88" s="105"/>
      <c r="D88" s="41"/>
      <c r="F88" s="61"/>
      <c r="M88" s="2374"/>
      <c r="N88" s="2374"/>
      <c r="O88" s="2374"/>
      <c r="P88" s="2374"/>
      <c r="Q88" s="109"/>
      <c r="R88" s="1062"/>
      <c r="S88" s="1062"/>
      <c r="T88" s="1062"/>
      <c r="U88" s="1062"/>
    </row>
    <row r="89" spans="1:21" s="43" customFormat="1" ht="12.6" customHeight="1">
      <c r="A89" s="143" t="s">
        <v>1936</v>
      </c>
      <c r="B89" s="165" t="s">
        <v>3560</v>
      </c>
      <c r="D89" s="41"/>
      <c r="F89" s="45" t="s">
        <v>3639</v>
      </c>
      <c r="M89" s="2374">
        <v>6</v>
      </c>
      <c r="N89" s="388" t="s">
        <v>1936</v>
      </c>
      <c r="O89" s="976">
        <f>IF($J$75="Flexible",MIN($M89,O90+O91+O92),0)</f>
        <v>0</v>
      </c>
      <c r="P89" s="976">
        <f>IF($J$75="Flexible",MIN($M89,P90+P91+P92),0)</f>
        <v>0</v>
      </c>
      <c r="Q89" s="109"/>
    </row>
    <row r="90" spans="1:21" s="409" customFormat="1" ht="23.25" customHeight="1">
      <c r="B90" s="435" t="s">
        <v>1939</v>
      </c>
      <c r="C90" s="3451" t="s">
        <v>4301</v>
      </c>
      <c r="D90" s="3451"/>
      <c r="E90" s="3451"/>
      <c r="F90" s="3451"/>
      <c r="G90" s="3451"/>
      <c r="H90" s="3451"/>
      <c r="I90" s="3904" t="s">
        <v>3776</v>
      </c>
      <c r="J90" s="3905"/>
      <c r="K90" s="3905"/>
      <c r="L90" s="3906"/>
      <c r="M90" s="500">
        <v>5</v>
      </c>
      <c r="N90" s="469" t="s">
        <v>1939</v>
      </c>
      <c r="O90" s="2290"/>
      <c r="P90" s="2647"/>
      <c r="Q90" s="1477" t="str">
        <f>IF(OR($O90=$M90,$O90=0,$O90=""),"","*CHECK!*")</f>
        <v/>
      </c>
      <c r="R90" s="974" t="s">
        <v>4767</v>
      </c>
    </row>
    <row r="91" spans="1:21" s="409" customFormat="1" ht="12" customHeight="1">
      <c r="A91" s="560" t="s">
        <v>1326</v>
      </c>
      <c r="B91" s="435" t="s">
        <v>1941</v>
      </c>
      <c r="C91" s="389" t="s">
        <v>3709</v>
      </c>
      <c r="D91" s="389"/>
      <c r="E91" s="389"/>
      <c r="F91" s="389"/>
      <c r="G91" s="389"/>
      <c r="H91" s="2399" t="str">
        <f>IF(AND(O91&gt;0,O90&gt;0),"Pick A1 or A2!","")</f>
        <v/>
      </c>
      <c r="I91" s="3907"/>
      <c r="J91" s="3908"/>
      <c r="K91" s="3908"/>
      <c r="L91" s="3909"/>
      <c r="M91" s="72">
        <v>4</v>
      </c>
      <c r="N91" s="430" t="s">
        <v>1941</v>
      </c>
      <c r="O91" s="2286"/>
      <c r="P91" s="2643"/>
      <c r="Q91" s="1477" t="str">
        <f>IF(OR($O91=$M91,$O91=0,$O91=""),"","*CHECK!*")</f>
        <v/>
      </c>
      <c r="R91" s="974" t="s">
        <v>4767</v>
      </c>
    </row>
    <row r="92" spans="1:21" s="409" customFormat="1" ht="12" customHeight="1">
      <c r="B92" s="435" t="s">
        <v>2468</v>
      </c>
      <c r="C92" s="389" t="s">
        <v>3561</v>
      </c>
      <c r="D92" s="389"/>
      <c r="E92" s="389"/>
      <c r="F92" s="389"/>
      <c r="I92" s="3907"/>
      <c r="J92" s="3908"/>
      <c r="K92" s="3908"/>
      <c r="L92" s="3909"/>
      <c r="M92" s="72">
        <v>1</v>
      </c>
      <c r="N92" s="430" t="s">
        <v>2468</v>
      </c>
      <c r="O92" s="2287"/>
      <c r="P92" s="2644"/>
      <c r="Q92" s="1477" t="str">
        <f>IF(OR($O92=$M92,$O92=0,$O92=""),"","*CHECK!*")</f>
        <v/>
      </c>
      <c r="R92" s="974" t="s">
        <v>4767</v>
      </c>
    </row>
    <row r="93" spans="1:21" s="409" customFormat="1" ht="12" customHeight="1">
      <c r="B93" s="435"/>
      <c r="C93" s="821" t="s">
        <v>3777</v>
      </c>
      <c r="D93" s="389"/>
      <c r="E93" s="389"/>
      <c r="F93" s="1434" t="str">
        <f>'Part I-Project Information'!$H$82</f>
        <v>Family</v>
      </c>
      <c r="G93" s="821"/>
      <c r="H93" s="1434"/>
      <c r="I93" s="3907"/>
      <c r="J93" s="3908"/>
      <c r="K93" s="3908"/>
      <c r="L93" s="3909"/>
      <c r="M93" s="102"/>
      <c r="N93" s="102"/>
      <c r="O93" s="102"/>
      <c r="P93" s="102"/>
      <c r="Q93" s="978"/>
      <c r="R93" s="1079"/>
    </row>
    <row r="94" spans="1:21" s="409" customFormat="1" ht="12" customHeight="1">
      <c r="B94" s="435"/>
      <c r="C94" s="821"/>
      <c r="D94" s="389"/>
      <c r="E94" s="389"/>
      <c r="F94" s="1434"/>
      <c r="G94" s="821"/>
      <c r="H94" s="1434"/>
      <c r="I94" s="3910"/>
      <c r="J94" s="3911"/>
      <c r="K94" s="3911"/>
      <c r="L94" s="3912"/>
      <c r="M94" s="102"/>
      <c r="N94" s="102"/>
      <c r="O94" s="102"/>
      <c r="P94" s="102"/>
      <c r="Q94" s="978"/>
      <c r="R94" s="1079"/>
    </row>
    <row r="95" spans="1:21" s="409" customFormat="1" ht="12" customHeight="1">
      <c r="A95" s="143" t="s">
        <v>1938</v>
      </c>
      <c r="B95" s="1078" t="s">
        <v>3562</v>
      </c>
      <c r="C95" s="603"/>
      <c r="D95" s="603"/>
      <c r="E95" s="603"/>
      <c r="F95" s="1060" t="s">
        <v>3638</v>
      </c>
      <c r="I95" s="3915" t="s">
        <v>7130</v>
      </c>
      <c r="J95" s="3916"/>
      <c r="K95" s="3916"/>
      <c r="L95" s="3810">
        <v>7063763975</v>
      </c>
      <c r="M95" s="2374">
        <v>3</v>
      </c>
      <c r="N95" s="455" t="s">
        <v>1938</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917"/>
      <c r="J96" s="3918"/>
      <c r="K96" s="3918"/>
      <c r="L96" s="3811"/>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785" t="s">
        <v>7092</v>
      </c>
      <c r="J97" s="3786"/>
      <c r="K97" s="3786"/>
      <c r="L97" s="3787"/>
      <c r="M97" s="102"/>
      <c r="N97" s="385" t="s">
        <v>3591</v>
      </c>
      <c r="O97" s="2258"/>
      <c r="P97" s="520"/>
      <c r="Q97" s="109"/>
      <c r="R97" s="387"/>
      <c r="S97" s="409"/>
      <c r="T97" s="409"/>
      <c r="U97" s="409"/>
    </row>
    <row r="98" spans="1:21" s="409" customFormat="1" ht="12" customHeight="1">
      <c r="A98" s="138"/>
      <c r="B98" s="1503" t="s">
        <v>1939</v>
      </c>
      <c r="C98" s="3454" t="s">
        <v>3710</v>
      </c>
      <c r="D98" s="3454"/>
      <c r="E98" s="3454"/>
      <c r="F98" s="3454"/>
      <c r="G98" s="3454"/>
      <c r="H98" s="3782"/>
      <c r="I98" s="3779"/>
      <c r="J98" s="3780"/>
      <c r="K98" s="3780"/>
      <c r="L98" s="3781"/>
      <c r="M98" s="72">
        <v>3</v>
      </c>
      <c r="N98" s="430" t="s">
        <v>1939</v>
      </c>
      <c r="O98" s="2286"/>
      <c r="P98" s="2648"/>
      <c r="Q98" s="978" t="str">
        <f>IF(OR($O98=$M98,$O98=0,$O98=""),"","*CHECK!*")</f>
        <v/>
      </c>
      <c r="R98" s="974" t="s">
        <v>4767</v>
      </c>
    </row>
    <row r="99" spans="1:21" s="43" customFormat="1" ht="12" customHeight="1">
      <c r="A99" s="560" t="s">
        <v>1326</v>
      </c>
      <c r="B99" s="1503" t="s">
        <v>1941</v>
      </c>
      <c r="C99" s="3454" t="s">
        <v>3711</v>
      </c>
      <c r="D99" s="3454"/>
      <c r="E99" s="3454"/>
      <c r="F99" s="3454"/>
      <c r="G99" s="3454"/>
      <c r="H99" s="3782"/>
      <c r="I99" s="3785" t="s">
        <v>7093</v>
      </c>
      <c r="J99" s="3786"/>
      <c r="K99" s="3786"/>
      <c r="L99" s="3787"/>
      <c r="M99" s="72">
        <v>2</v>
      </c>
      <c r="N99" s="430" t="s">
        <v>1941</v>
      </c>
      <c r="O99" s="2286"/>
      <c r="P99" s="2643"/>
      <c r="Q99" s="978" t="str">
        <f>IF(OR($O99=$M99,$O99=0,$O99=""),"","*CHECK!*")</f>
        <v/>
      </c>
      <c r="R99" s="974" t="s">
        <v>4767</v>
      </c>
    </row>
    <row r="100" spans="1:21" s="43" customFormat="1" ht="14.25" customHeight="1">
      <c r="A100" s="560" t="s">
        <v>1326</v>
      </c>
      <c r="B100" s="1503" t="s">
        <v>2468</v>
      </c>
      <c r="C100" s="3454" t="s">
        <v>3712</v>
      </c>
      <c r="D100" s="3454"/>
      <c r="E100" s="3454"/>
      <c r="F100" s="3454"/>
      <c r="G100" s="3454"/>
      <c r="H100" s="3782"/>
      <c r="I100" s="3779"/>
      <c r="J100" s="3780"/>
      <c r="K100" s="3780"/>
      <c r="L100" s="3781"/>
      <c r="M100" s="72">
        <v>1</v>
      </c>
      <c r="N100" s="430" t="s">
        <v>2468</v>
      </c>
      <c r="O100" s="2287"/>
      <c r="P100" s="2644"/>
      <c r="Q100" s="978" t="str">
        <f>IF(OR($O100=$M100,$O100=0,$O100=""),"","*CHECK!*")</f>
        <v/>
      </c>
      <c r="R100" s="974" t="s">
        <v>4767</v>
      </c>
    </row>
    <row r="101" spans="1:21" s="43" customFormat="1" ht="14.25" customHeight="1">
      <c r="A101" s="1061"/>
      <c r="B101" s="1421"/>
      <c r="C101" s="2382"/>
      <c r="D101" s="2382"/>
      <c r="E101" s="2382"/>
      <c r="F101" s="3898" t="str">
        <f>IF(OR(AND(O98&gt;0,O99&gt;0,O100&gt;0),AND(O98&gt;0,O99&gt;0),AND(O98&gt;0,O100&gt;0),AND(O99&gt;0,O100&gt;0)),"Choose only one option: B1 or B2 or B3!","")</f>
        <v/>
      </c>
      <c r="G101" s="3898"/>
      <c r="H101" s="3899"/>
      <c r="I101" s="3785" t="s">
        <v>7093</v>
      </c>
      <c r="J101" s="3786"/>
      <c r="K101" s="3786"/>
      <c r="L101" s="3787"/>
      <c r="M101" s="102"/>
      <c r="N101" s="102"/>
      <c r="O101" s="102"/>
      <c r="P101" s="102"/>
      <c r="Q101" s="978"/>
      <c r="R101" s="1079"/>
    </row>
    <row r="102" spans="1:21" s="43" customFormat="1" ht="12.6" customHeight="1">
      <c r="A102" s="504" t="s">
        <v>2696</v>
      </c>
      <c r="B102" s="165"/>
      <c r="E102" s="41"/>
      <c r="I102" s="3779"/>
      <c r="J102" s="3780"/>
      <c r="K102" s="3780"/>
      <c r="L102" s="3781"/>
      <c r="M102" s="72"/>
      <c r="N102" s="72"/>
      <c r="O102" s="72"/>
      <c r="P102" s="72"/>
      <c r="Q102" s="374"/>
      <c r="R102" s="374"/>
    </row>
    <row r="103" spans="1:21" s="102" customFormat="1" ht="12" customHeight="1">
      <c r="A103" s="138"/>
      <c r="B103" s="435" t="s">
        <v>1198</v>
      </c>
      <c r="C103" s="3827" t="s">
        <v>4367</v>
      </c>
      <c r="D103" s="3827"/>
      <c r="E103" s="3827"/>
      <c r="F103" s="3827"/>
      <c r="G103" s="3827"/>
      <c r="H103" s="3827"/>
      <c r="I103" s="165"/>
      <c r="J103" s="165"/>
      <c r="K103" s="165"/>
      <c r="L103" s="165"/>
      <c r="M103" s="72">
        <v>1</v>
      </c>
      <c r="N103" s="430" t="s">
        <v>1198</v>
      </c>
      <c r="O103" s="2291">
        <v>1</v>
      </c>
      <c r="P103" s="2649"/>
      <c r="Q103" s="978" t="str">
        <f>IF(OR($O103=$M103,$O103=0,$O103=""),"","*CHECK!*")</f>
        <v/>
      </c>
      <c r="R103" s="974" t="s">
        <v>4767</v>
      </c>
    </row>
    <row r="104" spans="1:21" s="102" customFormat="1" ht="12" customHeight="1">
      <c r="A104" s="138"/>
      <c r="B104" s="435"/>
      <c r="C104" s="3827"/>
      <c r="D104" s="3827"/>
      <c r="E104" s="3827"/>
      <c r="F104" s="3827"/>
      <c r="G104" s="3827"/>
      <c r="H104" s="3827"/>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8"/>
    </row>
    <row r="107" spans="1:21" s="43" customFormat="1" ht="29.25" customHeight="1" thickTop="1" thickBot="1">
      <c r="A107" s="3688" t="s">
        <v>7094</v>
      </c>
      <c r="B107" s="3689"/>
      <c r="C107" s="3689"/>
      <c r="D107" s="3689"/>
      <c r="E107" s="3689"/>
      <c r="F107" s="3689"/>
      <c r="G107" s="3689"/>
      <c r="H107" s="3689"/>
      <c r="I107" s="3689"/>
      <c r="J107" s="3689"/>
      <c r="K107" s="3689"/>
      <c r="L107" s="3689"/>
      <c r="M107" s="3689"/>
      <c r="N107" s="3689"/>
      <c r="O107" s="3689"/>
      <c r="P107" s="3690"/>
      <c r="Q107" s="1027" t="s">
        <v>1228</v>
      </c>
      <c r="R107" s="441"/>
    </row>
    <row r="108" spans="1:21" s="102" customFormat="1" ht="11.4" customHeight="1" thickTop="1">
      <c r="A108" s="42"/>
      <c r="B108" s="97" t="s">
        <v>1820</v>
      </c>
      <c r="C108" s="42"/>
      <c r="D108" s="97"/>
      <c r="E108" s="2394"/>
      <c r="F108" s="2394"/>
      <c r="G108" s="2394"/>
      <c r="H108" s="2394"/>
      <c r="I108" s="2394"/>
      <c r="J108" s="2394"/>
      <c r="K108" s="2394"/>
      <c r="L108" s="2394"/>
      <c r="M108" s="2394"/>
      <c r="N108" s="93"/>
      <c r="O108" s="836"/>
      <c r="P108" s="2374"/>
      <c r="Q108" s="422"/>
    </row>
    <row r="109" spans="1:21" s="43" customFormat="1" ht="11.25" customHeight="1">
      <c r="A109" s="3433"/>
      <c r="B109" s="3434"/>
      <c r="C109" s="3434"/>
      <c r="D109" s="3434"/>
      <c r="E109" s="3434"/>
      <c r="F109" s="3434"/>
      <c r="G109" s="3434"/>
      <c r="H109" s="3434"/>
      <c r="I109" s="3434"/>
      <c r="J109" s="3434"/>
      <c r="K109" s="3434"/>
      <c r="L109" s="3434"/>
      <c r="M109" s="3434"/>
      <c r="N109" s="3434"/>
      <c r="O109" s="3434"/>
      <c r="P109" s="3435"/>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8"/>
      <c r="P111" s="3"/>
    </row>
    <row r="112" spans="1:21" s="43" customFormat="1" ht="12.75" customHeight="1" thickBot="1">
      <c r="A112" s="152" t="s">
        <v>1750</v>
      </c>
      <c r="B112" s="106" t="s">
        <v>3727</v>
      </c>
      <c r="D112" s="39"/>
      <c r="E112" s="36"/>
      <c r="F112" s="846"/>
      <c r="G112" s="846"/>
      <c r="H112" s="846"/>
      <c r="I112" s="61" t="s">
        <v>3568</v>
      </c>
      <c r="J112" s="856"/>
      <c r="K112" s="856"/>
      <c r="L112" s="856"/>
      <c r="M112" s="237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8"/>
      <c r="P113" s="3"/>
    </row>
    <row r="114" spans="1:20" s="102" customFormat="1" ht="12.75" customHeight="1" thickBot="1">
      <c r="A114" s="178" t="s">
        <v>1936</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1936</v>
      </c>
      <c r="O114" s="2292">
        <v>3</v>
      </c>
      <c r="P114" s="2650"/>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t="s">
        <v>2886</v>
      </c>
      <c r="P115" s="2651"/>
    </row>
    <row r="116" spans="1:20" s="36" customFormat="1" ht="76.5" customHeight="1">
      <c r="A116" s="63"/>
      <c r="B116" s="3451" t="s">
        <v>4728</v>
      </c>
      <c r="C116" s="3451"/>
      <c r="D116" s="3930" t="s">
        <v>7063</v>
      </c>
      <c r="E116" s="3930"/>
      <c r="F116" s="3930"/>
      <c r="G116" s="3930"/>
      <c r="H116" s="3930"/>
      <c r="I116" s="3930"/>
      <c r="J116" s="3930"/>
      <c r="K116" s="3930"/>
      <c r="L116" s="3930"/>
      <c r="M116" s="3930"/>
      <c r="N116" s="3930"/>
      <c r="O116" s="3930"/>
      <c r="P116" s="3930"/>
      <c r="Q116" s="1023"/>
      <c r="R116" s="1023"/>
      <c r="S116" s="1023"/>
      <c r="T116" s="1023"/>
    </row>
    <row r="117" spans="1:20" s="102" customFormat="1" ht="21.6" customHeight="1">
      <c r="A117" s="178"/>
      <c r="B117" s="3443" t="s">
        <v>4307</v>
      </c>
      <c r="C117" s="3443"/>
      <c r="D117" s="3443"/>
      <c r="E117" s="3931" t="s">
        <v>7064</v>
      </c>
      <c r="F117" s="3931"/>
      <c r="G117" s="3931"/>
      <c r="H117" s="3931"/>
      <c r="I117" s="3931"/>
      <c r="J117" s="3931"/>
      <c r="K117" s="3931"/>
      <c r="L117" s="3931"/>
      <c r="M117" s="3931"/>
      <c r="N117" s="3931"/>
      <c r="O117" s="3931"/>
      <c r="P117" s="3931"/>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8"/>
      <c r="P118" s="3"/>
    </row>
    <row r="119" spans="1:20" s="102" customFormat="1" ht="12.75" customHeight="1" thickBot="1">
      <c r="A119" s="178" t="s">
        <v>1938</v>
      </c>
      <c r="B119" s="165" t="s">
        <v>3730</v>
      </c>
      <c r="D119" s="92"/>
      <c r="I119" s="92"/>
      <c r="J119" s="92"/>
      <c r="L119" s="374" t="str">
        <f>IF(OR($O119=$M119,$O119=0,$O119=""),"","* * Check Score! * *")</f>
        <v/>
      </c>
      <c r="M119" s="995">
        <v>3</v>
      </c>
      <c r="N119" s="455" t="s">
        <v>1938</v>
      </c>
      <c r="O119" s="2292"/>
      <c r="P119" s="2650"/>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92"/>
      <c r="P120" s="2380"/>
      <c r="Q120" s="1023"/>
      <c r="R120" s="1023"/>
      <c r="S120" s="1023"/>
      <c r="T120" s="1023"/>
    </row>
    <row r="121" spans="1:20" s="409" customFormat="1" ht="21" customHeight="1">
      <c r="A121" s="1780"/>
      <c r="B121" s="1421" t="s">
        <v>1939</v>
      </c>
      <c r="C121" s="136" t="s">
        <v>4612</v>
      </c>
      <c r="D121" s="3932" t="s">
        <v>4307</v>
      </c>
      <c r="E121" s="3932"/>
      <c r="F121" s="3932"/>
      <c r="G121" s="3930"/>
      <c r="H121" s="3930"/>
      <c r="I121" s="3930"/>
      <c r="J121" s="3930"/>
      <c r="K121" s="3930"/>
      <c r="L121" s="3930"/>
      <c r="M121" s="3930"/>
      <c r="N121" s="3930"/>
      <c r="O121" s="3930"/>
      <c r="P121" s="3930"/>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5"/>
      <c r="N123" s="385" t="s">
        <v>2373</v>
      </c>
      <c r="O123" s="2257"/>
      <c r="P123" s="519"/>
      <c r="Q123" s="1023"/>
      <c r="R123" s="1023"/>
      <c r="S123" s="1023"/>
      <c r="T123" s="1023"/>
    </row>
    <row r="124" spans="1:20" s="55" customFormat="1" ht="10.5" customHeight="1">
      <c r="A124" s="63"/>
      <c r="C124" s="55" t="s">
        <v>3805</v>
      </c>
      <c r="D124" s="412"/>
      <c r="E124" s="52"/>
      <c r="F124" s="52"/>
      <c r="G124" s="52"/>
      <c r="H124" s="412"/>
      <c r="J124" s="412"/>
      <c r="L124" s="3640" t="s">
        <v>3617</v>
      </c>
      <c r="M124" s="3640"/>
      <c r="N124" s="3640"/>
      <c r="O124" s="3925" t="s">
        <v>3616</v>
      </c>
      <c r="P124" s="3925"/>
      <c r="Q124" s="52"/>
    </row>
    <row r="125" spans="1:20" s="55" customFormat="1" ht="10.95" customHeight="1">
      <c r="A125" s="63"/>
      <c r="B125" s="373"/>
      <c r="C125" s="3773"/>
      <c r="D125" s="3774"/>
      <c r="E125" s="3774"/>
      <c r="F125" s="3774"/>
      <c r="G125" s="3774"/>
      <c r="H125" s="3774"/>
      <c r="I125" s="3774"/>
      <c r="J125" s="3774"/>
      <c r="K125" s="3775"/>
      <c r="L125" s="3776" t="s">
        <v>3522</v>
      </c>
      <c r="M125" s="3776"/>
      <c r="N125" s="3776"/>
      <c r="O125" s="3777"/>
      <c r="P125" s="3777"/>
      <c r="Q125" s="1055" t="str">
        <f>IF(O125&gt;15, "Too much!","")</f>
        <v/>
      </c>
    </row>
    <row r="126" spans="1:20" s="55" customFormat="1" ht="10.95" customHeight="1">
      <c r="A126" s="63"/>
      <c r="B126" s="386"/>
      <c r="C126" s="3779"/>
      <c r="D126" s="3780"/>
      <c r="E126" s="3780"/>
      <c r="F126" s="3780"/>
      <c r="G126" s="3780"/>
      <c r="H126" s="3780"/>
      <c r="I126" s="3780"/>
      <c r="J126" s="3780"/>
      <c r="K126" s="3781"/>
      <c r="L126" s="3771" t="s">
        <v>3522</v>
      </c>
      <c r="M126" s="3771"/>
      <c r="N126" s="3771"/>
      <c r="O126" s="3778"/>
      <c r="P126" s="3778"/>
      <c r="Q126" s="1055" t="str">
        <f>IF(O126&gt;15, "Too much!","")</f>
        <v/>
      </c>
    </row>
    <row r="127" spans="1:20" s="55" customFormat="1" ht="10.95" customHeight="1">
      <c r="A127" s="63"/>
      <c r="B127" s="373"/>
      <c r="C127" s="3779"/>
      <c r="D127" s="3780"/>
      <c r="E127" s="3780"/>
      <c r="F127" s="3780"/>
      <c r="G127" s="3780"/>
      <c r="H127" s="3780"/>
      <c r="I127" s="3780"/>
      <c r="J127" s="3780"/>
      <c r="K127" s="3781"/>
      <c r="L127" s="3771" t="s">
        <v>3522</v>
      </c>
      <c r="M127" s="3771"/>
      <c r="N127" s="3771"/>
      <c r="O127" s="3778"/>
      <c r="P127" s="3778"/>
      <c r="Q127" s="1055" t="str">
        <f>IF(O127&gt;15, "Too much!","")</f>
        <v/>
      </c>
    </row>
    <row r="128" spans="1:20" s="55" customFormat="1" ht="10.95" customHeight="1">
      <c r="A128" s="63"/>
      <c r="B128" s="385"/>
      <c r="C128" s="3926"/>
      <c r="D128" s="3927"/>
      <c r="E128" s="3927"/>
      <c r="F128" s="3927"/>
      <c r="G128" s="3927"/>
      <c r="H128" s="3927"/>
      <c r="I128" s="3927"/>
      <c r="J128" s="3927"/>
      <c r="K128" s="3928"/>
      <c r="L128" s="3929" t="s">
        <v>3522</v>
      </c>
      <c r="M128" s="3929"/>
      <c r="N128" s="3929"/>
      <c r="O128" s="3772"/>
      <c r="P128" s="3772"/>
      <c r="Q128" s="1055" t="str">
        <f>IF(O128&gt;15, "Too much!","")</f>
        <v/>
      </c>
    </row>
    <row r="129" spans="1:21" s="102" customFormat="1" ht="10.5" customHeight="1">
      <c r="B129" s="1503" t="s">
        <v>1941</v>
      </c>
      <c r="C129" s="66" t="s">
        <v>4613</v>
      </c>
      <c r="D129" s="36" t="s">
        <v>4618</v>
      </c>
      <c r="E129" s="52"/>
      <c r="F129" s="52"/>
      <c r="G129" s="52"/>
      <c r="H129" s="92"/>
      <c r="I129" s="92"/>
      <c r="J129" s="92"/>
      <c r="K129" s="92"/>
      <c r="L129" s="92"/>
      <c r="M129" s="92"/>
      <c r="N129" s="986" t="s">
        <v>4809</v>
      </c>
      <c r="O129" s="2256"/>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58"/>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2650"/>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5"/>
      <c r="N132" s="52"/>
      <c r="O132" s="2392" t="s">
        <v>7038</v>
      </c>
      <c r="P132" s="2380"/>
      <c r="Q132" s="52"/>
      <c r="R132" s="1023"/>
      <c r="S132" s="1023"/>
      <c r="T132" s="1023"/>
      <c r="U132" s="1023"/>
    </row>
    <row r="133" spans="1:21" s="36" customFormat="1" ht="10.5" customHeight="1">
      <c r="A133" s="63"/>
      <c r="B133" s="1503" t="s">
        <v>1939</v>
      </c>
      <c r="C133" s="3443" t="s">
        <v>4614</v>
      </c>
      <c r="D133" s="3443"/>
      <c r="E133" s="3443"/>
      <c r="F133" s="1135"/>
      <c r="G133" s="856" t="s">
        <v>4813</v>
      </c>
      <c r="I133" s="1135"/>
      <c r="J133" s="1135"/>
      <c r="K133" s="1135"/>
      <c r="L133" s="1135"/>
      <c r="M133" s="64"/>
      <c r="N133" s="986" t="s">
        <v>4808</v>
      </c>
      <c r="O133" s="2266" t="s">
        <v>2886</v>
      </c>
      <c r="P133" s="898"/>
      <c r="Q133" s="52"/>
      <c r="R133" s="1023"/>
      <c r="S133" s="1023"/>
      <c r="T133" s="1023"/>
      <c r="U133" s="1023"/>
    </row>
    <row r="134" spans="1:21" s="36" customFormat="1" ht="10.5" customHeight="1">
      <c r="A134" s="63"/>
      <c r="B134" s="372"/>
      <c r="C134" s="3443"/>
      <c r="D134" s="3443"/>
      <c r="E134" s="3443"/>
      <c r="F134" s="1135"/>
      <c r="G134" s="856" t="s">
        <v>4810</v>
      </c>
      <c r="I134" s="1135"/>
      <c r="J134" s="1135"/>
      <c r="K134" s="1135"/>
      <c r="L134" s="1135"/>
      <c r="M134" s="2385"/>
      <c r="N134" s="385" t="s">
        <v>2373</v>
      </c>
      <c r="O134" s="2257" t="s">
        <v>2886</v>
      </c>
      <c r="P134" s="519"/>
      <c r="Q134" s="52"/>
      <c r="R134" s="1023"/>
      <c r="S134" s="1023"/>
      <c r="T134" s="1023"/>
      <c r="U134" s="1023"/>
    </row>
    <row r="135" spans="1:21" s="36" customFormat="1" ht="10.5" customHeight="1">
      <c r="A135" s="64"/>
      <c r="B135" s="372"/>
      <c r="C135" s="3443"/>
      <c r="D135" s="3443"/>
      <c r="E135" s="3443"/>
      <c r="F135" s="1135"/>
      <c r="G135" s="856" t="s">
        <v>4811</v>
      </c>
      <c r="I135" s="1135"/>
      <c r="J135" s="1135"/>
      <c r="K135" s="1135"/>
      <c r="L135" s="1135"/>
      <c r="M135" s="2385"/>
      <c r="N135" s="385" t="s">
        <v>2374</v>
      </c>
      <c r="O135" s="2257" t="s">
        <v>2886</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5"/>
      <c r="N136" s="385" t="s">
        <v>2375</v>
      </c>
      <c r="O136" s="2257" t="s">
        <v>2886</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5"/>
      <c r="N137" s="385" t="s">
        <v>2376</v>
      </c>
      <c r="O137" s="2258" t="s">
        <v>2886</v>
      </c>
      <c r="P137" s="520"/>
      <c r="Q137" s="52"/>
    </row>
    <row r="138" spans="1:21" s="36" customFormat="1" ht="10.5" customHeight="1">
      <c r="A138" s="63"/>
      <c r="C138" s="52" t="s">
        <v>4815</v>
      </c>
      <c r="D138" s="1135"/>
      <c r="E138" s="1135"/>
      <c r="F138" s="1135"/>
      <c r="G138" s="1135"/>
      <c r="H138" s="1135"/>
      <c r="I138" s="1135"/>
      <c r="J138" s="1135"/>
      <c r="K138" s="1135"/>
      <c r="L138" s="1135"/>
      <c r="M138" s="2385"/>
      <c r="N138" s="52"/>
      <c r="O138" s="2392" t="s">
        <v>7038</v>
      </c>
      <c r="P138" s="2380"/>
      <c r="Q138" s="52"/>
      <c r="R138" s="1023"/>
      <c r="S138" s="1023"/>
      <c r="T138" s="1023"/>
      <c r="U138" s="1023"/>
    </row>
    <row r="139" spans="1:21" s="36" customFormat="1" ht="10.5" customHeight="1">
      <c r="A139" s="63"/>
      <c r="B139" s="1503" t="s">
        <v>1941</v>
      </c>
      <c r="C139" s="856" t="s">
        <v>4615</v>
      </c>
      <c r="D139" s="1135"/>
      <c r="E139" s="1135"/>
      <c r="F139" s="1135"/>
      <c r="G139" s="1135"/>
      <c r="H139" s="1135"/>
      <c r="I139" s="1135"/>
      <c r="J139" s="1135"/>
      <c r="K139" s="1135"/>
      <c r="L139" s="1135"/>
      <c r="M139" s="64"/>
      <c r="N139" s="1037" t="s">
        <v>1941</v>
      </c>
      <c r="O139" s="2259" t="s">
        <v>2886</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39" customHeight="1">
      <c r="B141" s="373"/>
      <c r="C141" s="3922" t="s">
        <v>7065</v>
      </c>
      <c r="D141" s="3923"/>
      <c r="E141" s="3923"/>
      <c r="F141" s="3924"/>
      <c r="G141" s="3922" t="s">
        <v>7066</v>
      </c>
      <c r="H141" s="3923"/>
      <c r="I141" s="3923"/>
      <c r="J141" s="3923"/>
      <c r="K141" s="3923"/>
      <c r="L141" s="3923"/>
      <c r="M141" s="3923"/>
      <c r="N141" s="3923"/>
      <c r="O141" s="3923"/>
      <c r="P141" s="3924"/>
      <c r="Q141" s="52"/>
    </row>
    <row r="142" spans="1:21" s="55" customFormat="1" ht="42" customHeight="1">
      <c r="A142" s="63"/>
      <c r="B142" s="386"/>
      <c r="C142" s="3919" t="s">
        <v>7067</v>
      </c>
      <c r="D142" s="3920"/>
      <c r="E142" s="3920"/>
      <c r="F142" s="3921"/>
      <c r="G142" s="3919" t="s">
        <v>7068</v>
      </c>
      <c r="H142" s="3920"/>
      <c r="I142" s="3920"/>
      <c r="J142" s="3920"/>
      <c r="K142" s="3920"/>
      <c r="L142" s="3920"/>
      <c r="M142" s="3920"/>
      <c r="N142" s="3920"/>
      <c r="O142" s="3920"/>
      <c r="P142" s="3921"/>
      <c r="Q142" s="52"/>
    </row>
    <row r="143" spans="1:21" s="55" customFormat="1" ht="43.5" customHeight="1">
      <c r="B143" s="1604"/>
      <c r="C143" s="3919" t="s">
        <v>7069</v>
      </c>
      <c r="D143" s="3920"/>
      <c r="E143" s="3920"/>
      <c r="F143" s="3921"/>
      <c r="G143" s="3919" t="s">
        <v>7070</v>
      </c>
      <c r="H143" s="3920"/>
      <c r="I143" s="3920"/>
      <c r="J143" s="3920"/>
      <c r="K143" s="3920"/>
      <c r="L143" s="3920"/>
      <c r="M143" s="3920"/>
      <c r="N143" s="3920"/>
      <c r="O143" s="3920"/>
      <c r="P143" s="3921"/>
      <c r="Q143" s="52"/>
    </row>
    <row r="144" spans="1:21" s="55" customFormat="1" ht="21" customHeight="1">
      <c r="A144" s="1604"/>
      <c r="B144" s="1604"/>
      <c r="C144" s="3926"/>
      <c r="D144" s="3927"/>
      <c r="E144" s="3927"/>
      <c r="F144" s="3928"/>
      <c r="G144" s="3926"/>
      <c r="H144" s="3927"/>
      <c r="I144" s="3927"/>
      <c r="J144" s="3927"/>
      <c r="K144" s="3927"/>
      <c r="L144" s="3927"/>
      <c r="M144" s="3927"/>
      <c r="N144" s="3927"/>
      <c r="O144" s="3927"/>
      <c r="P144" s="3928"/>
      <c r="Q144" s="52"/>
    </row>
    <row r="145" spans="1:27" s="43" customFormat="1" ht="11.25" customHeight="1" thickBot="1">
      <c r="A145" s="42"/>
      <c r="B145" s="1132" t="s">
        <v>3567</v>
      </c>
      <c r="C145" s="42"/>
      <c r="D145" s="48"/>
      <c r="E145" s="48"/>
      <c r="F145" s="48"/>
      <c r="G145" s="48"/>
      <c r="H145" s="36"/>
      <c r="K145" s="48"/>
      <c r="M145" s="46"/>
      <c r="N145" s="62"/>
      <c r="O145" s="3"/>
      <c r="P145" s="2378"/>
    </row>
    <row r="146" spans="1:27" s="43" customFormat="1" ht="29.25" customHeight="1" thickTop="1" thickBot="1">
      <c r="A146" s="3688" t="s">
        <v>7095</v>
      </c>
      <c r="B146" s="3689"/>
      <c r="C146" s="3689"/>
      <c r="D146" s="3689"/>
      <c r="E146" s="3689"/>
      <c r="F146" s="3689"/>
      <c r="G146" s="3689"/>
      <c r="H146" s="3689"/>
      <c r="I146" s="3689"/>
      <c r="J146" s="3689"/>
      <c r="K146" s="3689"/>
      <c r="L146" s="3689"/>
      <c r="M146" s="3689"/>
      <c r="N146" s="3689"/>
      <c r="O146" s="3689"/>
      <c r="P146" s="3690"/>
      <c r="Q146" s="1027" t="s">
        <v>1228</v>
      </c>
      <c r="R146" s="441"/>
    </row>
    <row r="147" spans="1:27" s="43" customFormat="1" ht="10.199999999999999" customHeight="1" thickTop="1">
      <c r="B147" s="1605" t="s">
        <v>3820</v>
      </c>
      <c r="C147" s="98"/>
      <c r="D147" s="85"/>
      <c r="E147" s="99"/>
      <c r="F147" s="2381"/>
      <c r="G147" s="2381"/>
      <c r="H147" s="2381"/>
      <c r="I147" s="2381"/>
      <c r="J147" s="2381"/>
      <c r="K147" s="2381"/>
      <c r="L147" s="2381"/>
      <c r="M147" s="2381"/>
      <c r="N147" s="74"/>
      <c r="O147" s="70"/>
      <c r="P147" s="2374"/>
      <c r="Q147" s="422"/>
    </row>
    <row r="148" spans="1:27" s="43" customFormat="1" ht="11.25" customHeight="1">
      <c r="A148" s="3609"/>
      <c r="B148" s="3610"/>
      <c r="C148" s="3610"/>
      <c r="D148" s="3610"/>
      <c r="E148" s="3610"/>
      <c r="F148" s="3610"/>
      <c r="G148" s="3610"/>
      <c r="H148" s="3610"/>
      <c r="I148" s="3610"/>
      <c r="J148" s="3610"/>
      <c r="K148" s="3610"/>
      <c r="L148" s="3610"/>
      <c r="M148" s="3610"/>
      <c r="N148" s="3610"/>
      <c r="O148" s="3610"/>
      <c r="P148" s="3611"/>
      <c r="Q148" s="440"/>
    </row>
    <row r="149" spans="1:27" s="43" customFormat="1" ht="3" customHeight="1" thickBot="1">
      <c r="A149" s="42"/>
      <c r="C149" s="2381"/>
      <c r="D149" s="2381"/>
      <c r="E149" s="2381"/>
      <c r="F149" s="2381"/>
      <c r="G149" s="2381"/>
      <c r="H149" s="2381"/>
      <c r="I149" s="2381"/>
      <c r="J149" s="2381"/>
      <c r="K149" s="2381"/>
      <c r="L149" s="2381"/>
      <c r="M149" s="2381"/>
      <c r="N149" s="74"/>
      <c r="O149" s="70"/>
      <c r="P149" s="846"/>
    </row>
    <row r="150" spans="1:27" s="43" customFormat="1" ht="13.5" customHeight="1" thickBot="1">
      <c r="A150" s="152" t="s">
        <v>516</v>
      </c>
      <c r="B150" s="106" t="s">
        <v>3716</v>
      </c>
      <c r="C150" s="2381"/>
      <c r="D150" s="2381"/>
      <c r="E150" s="2381"/>
      <c r="F150" s="2381"/>
      <c r="G150" s="2381"/>
      <c r="H150" s="2381"/>
      <c r="I150" s="2381"/>
      <c r="J150" s="2381"/>
      <c r="K150" s="2381"/>
      <c r="L150" s="2381"/>
      <c r="M150" s="846">
        <v>5</v>
      </c>
      <c r="N150" s="74"/>
      <c r="O150" s="1041">
        <f>O152+O175</f>
        <v>2</v>
      </c>
      <c r="P150" s="1041">
        <f>P152+P175</f>
        <v>0</v>
      </c>
      <c r="Q150" s="109" t="s">
        <v>433</v>
      </c>
      <c r="S150" s="1734">
        <f>IF(NOT(R163=T163),0,IF(OR('Part VI-Revenues &amp; Expenses'!$P$67=0,$V$163=0),0,IF(AND($F$157="Family",$V$163=$T$163),3,IF($V$163=$T$163,2,IF(OR($V$163=2,$V$163=1),1,0)))))</f>
        <v>1</v>
      </c>
    </row>
    <row r="151" spans="1:27" s="43" customFormat="1" ht="3.75" customHeight="1">
      <c r="A151" s="42"/>
      <c r="C151" s="2381"/>
      <c r="D151" s="2381"/>
      <c r="E151" s="2381"/>
      <c r="F151" s="2381"/>
      <c r="G151" s="2381"/>
      <c r="H151" s="2381"/>
      <c r="I151" s="2381"/>
      <c r="J151" s="2381"/>
      <c r="K151" s="2381"/>
      <c r="L151" s="2381"/>
      <c r="M151" s="2381"/>
      <c r="N151" s="74"/>
      <c r="O151" s="70"/>
      <c r="P151" s="846"/>
    </row>
    <row r="152" spans="1:27" s="102" customFormat="1" ht="13.5" customHeight="1">
      <c r="A152" s="178" t="s">
        <v>1936</v>
      </c>
      <c r="B152" s="10" t="s">
        <v>3731</v>
      </c>
      <c r="C152" s="92"/>
      <c r="D152" s="1038"/>
      <c r="E152" s="1038"/>
      <c r="G152" s="1063"/>
      <c r="H152" s="1063"/>
      <c r="I152" s="1063"/>
      <c r="J152" s="1063"/>
      <c r="K152" s="1063"/>
      <c r="L152" s="1063"/>
      <c r="M152" s="426">
        <v>3</v>
      </c>
      <c r="N152" s="174"/>
      <c r="O152" s="2294">
        <v>1</v>
      </c>
      <c r="P152" s="2652"/>
      <c r="Q152" s="1477" t="str">
        <f>IF(OR($O152=$M152,$O152=0,$O152=""),"","*CHECK!*")</f>
        <v>*CHECK!*</v>
      </c>
      <c r="R152" s="974" t="s">
        <v>4767</v>
      </c>
    </row>
    <row r="153" spans="1:27" s="43" customFormat="1" ht="12" customHeight="1">
      <c r="B153" s="40" t="s">
        <v>3621</v>
      </c>
      <c r="C153" s="424"/>
      <c r="D153" s="424"/>
      <c r="E153" s="424"/>
      <c r="F153" s="424"/>
      <c r="G153" s="424"/>
      <c r="H153" s="424"/>
      <c r="I153" s="424"/>
      <c r="J153" s="424"/>
      <c r="K153" s="424"/>
      <c r="L153" s="424"/>
      <c r="M153" s="424"/>
      <c r="N153" s="424"/>
      <c r="O153" s="2254" t="s">
        <v>2886</v>
      </c>
      <c r="P153" s="516"/>
      <c r="Q153" s="3967" t="s">
        <v>4593</v>
      </c>
      <c r="R153" s="3967"/>
      <c r="S153" s="3967"/>
      <c r="T153" s="3967"/>
      <c r="U153" s="3967"/>
      <c r="V153" s="396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967"/>
      <c r="R154" s="3967"/>
      <c r="S154" s="3967"/>
      <c r="T154" s="3967"/>
      <c r="U154" s="3967"/>
      <c r="V154" s="3967"/>
      <c r="W154" s="1731"/>
    </row>
    <row r="155" spans="1:27" s="43" customFormat="1" ht="11.25" customHeight="1">
      <c r="A155" s="138"/>
      <c r="B155" s="3869" t="s">
        <v>4504</v>
      </c>
      <c r="C155" s="3869"/>
      <c r="D155" s="3869"/>
      <c r="E155" s="52" t="s">
        <v>3620</v>
      </c>
      <c r="F155" s="102"/>
      <c r="G155" s="52"/>
      <c r="H155" s="102"/>
      <c r="I155" s="3494" t="s">
        <v>7100</v>
      </c>
      <c r="J155" s="3495"/>
      <c r="K155" s="3495"/>
      <c r="L155" s="3496"/>
      <c r="Q155" s="3967"/>
      <c r="R155" s="3967"/>
      <c r="S155" s="3967"/>
      <c r="T155" s="3967"/>
      <c r="U155" s="3967"/>
      <c r="V155" s="3967"/>
      <c r="W155" s="1731"/>
    </row>
    <row r="156" spans="1:27" s="43" customFormat="1" ht="11.25" customHeight="1">
      <c r="A156" s="138"/>
      <c r="B156" s="3869"/>
      <c r="C156" s="3869"/>
      <c r="D156" s="3869"/>
      <c r="E156" s="40" t="s">
        <v>4309</v>
      </c>
      <c r="F156" s="374"/>
      <c r="G156" s="102"/>
      <c r="H156" s="102"/>
      <c r="I156" s="40"/>
      <c r="J156" s="2383"/>
      <c r="K156" s="2383"/>
      <c r="L156" s="2383"/>
      <c r="M156" s="102"/>
      <c r="N156" s="1065"/>
      <c r="O156" s="2254"/>
      <c r="P156" s="516"/>
      <c r="Q156" s="3967"/>
      <c r="R156" s="3967"/>
      <c r="S156" s="3967"/>
      <c r="T156" s="3967"/>
      <c r="U156" s="3967"/>
      <c r="V156" s="3967"/>
      <c r="W156" s="1731"/>
    </row>
    <row r="157" spans="1:27" s="43" customFormat="1" ht="12" customHeight="1">
      <c r="A157" s="42"/>
      <c r="C157" s="2381"/>
      <c r="D157" s="2381"/>
      <c r="E157" s="52" t="s">
        <v>4310</v>
      </c>
      <c r="F157" s="1506" t="str">
        <f>'Part I-Project Information'!$H$82</f>
        <v>Family</v>
      </c>
      <c r="H157" s="1505"/>
      <c r="I157" s="2381"/>
      <c r="J157" s="2381"/>
      <c r="M157" s="2381"/>
      <c r="N157" s="74"/>
      <c r="O157" s="3940" t="s">
        <v>4762</v>
      </c>
      <c r="P157" s="3940"/>
      <c r="Q157" s="3967"/>
      <c r="R157" s="3967"/>
      <c r="S157" s="3967"/>
      <c r="T157" s="3967"/>
      <c r="U157" s="3967"/>
      <c r="V157" s="3967"/>
      <c r="W157" s="1731"/>
    </row>
    <row r="158" spans="1:27" s="55" customFormat="1" ht="3" customHeight="1">
      <c r="A158" s="861"/>
      <c r="B158" s="424"/>
      <c r="O158" s="3941"/>
      <c r="P158" s="3941"/>
      <c r="Q158" s="3967"/>
      <c r="R158" s="3967"/>
      <c r="S158" s="3967"/>
      <c r="T158" s="3967"/>
      <c r="U158" s="3967"/>
      <c r="V158" s="3967"/>
      <c r="W158" s="1731"/>
    </row>
    <row r="159" spans="1:27" s="43" customFormat="1" ht="12" customHeight="1">
      <c r="A159" s="373" t="s">
        <v>2372</v>
      </c>
      <c r="B159" s="110" t="s">
        <v>4505</v>
      </c>
      <c r="C159" s="2381"/>
      <c r="D159" s="2381"/>
      <c r="E159" s="52"/>
      <c r="F159" s="1419"/>
      <c r="G159" s="1419"/>
      <c r="I159" s="2381"/>
      <c r="J159" s="2381"/>
      <c r="K159" s="2381"/>
      <c r="L159" s="2381"/>
      <c r="M159" s="3953" t="s">
        <v>4308</v>
      </c>
      <c r="N159" s="74"/>
      <c r="O159" s="3941"/>
      <c r="P159" s="3941"/>
      <c r="Q159" s="3967"/>
      <c r="R159" s="3967"/>
      <c r="S159" s="3967"/>
      <c r="T159" s="3967"/>
      <c r="U159" s="3967"/>
      <c r="V159" s="3967"/>
      <c r="Y159" s="3966" t="s">
        <v>4783</v>
      </c>
      <c r="Z159" s="3966"/>
      <c r="AA159" s="3966"/>
    </row>
    <row r="160" spans="1:27" s="55" customFormat="1" ht="3" customHeight="1">
      <c r="A160" s="861"/>
      <c r="B160" s="424"/>
      <c r="M160" s="3953"/>
      <c r="O160" s="3941"/>
      <c r="P160" s="3941"/>
      <c r="R160" s="1730"/>
      <c r="S160" s="412"/>
      <c r="T160" s="1730"/>
      <c r="U160" s="412"/>
      <c r="V160" s="43"/>
      <c r="W160" s="43"/>
    </row>
    <row r="161" spans="1:36" s="43" customFormat="1" ht="13.5" customHeight="1">
      <c r="A161" s="3977" t="s">
        <v>4763</v>
      </c>
      <c r="B161" s="3977"/>
      <c r="C161" s="3977"/>
      <c r="D161" s="3977"/>
      <c r="E161" s="3977"/>
      <c r="F161" s="3977"/>
      <c r="G161" s="3978"/>
      <c r="H161" s="3950" t="s">
        <v>3648</v>
      </c>
      <c r="I161" s="3951"/>
      <c r="J161" s="3952"/>
      <c r="K161" s="3953" t="s">
        <v>3619</v>
      </c>
      <c r="L161" s="3427" t="s">
        <v>4754</v>
      </c>
      <c r="M161" s="3953"/>
      <c r="N161" s="1436"/>
      <c r="O161" s="3941"/>
      <c r="P161" s="3941"/>
      <c r="Q161" s="3968" t="s">
        <v>4750</v>
      </c>
      <c r="R161" s="3968" t="s">
        <v>4753</v>
      </c>
      <c r="S161" s="3968" t="s">
        <v>4751</v>
      </c>
      <c r="T161" s="3968" t="s">
        <v>4752</v>
      </c>
      <c r="U161" s="3968" t="s">
        <v>4469</v>
      </c>
      <c r="V161" s="3968" t="s">
        <v>4468</v>
      </c>
      <c r="X161" s="102"/>
      <c r="Y161" s="1742" t="s">
        <v>4782</v>
      </c>
      <c r="Z161" s="1743" t="s">
        <v>4784</v>
      </c>
      <c r="AA161" s="1743" t="s">
        <v>4785</v>
      </c>
    </row>
    <row r="162" spans="1:36" s="43" customFormat="1" ht="30" customHeight="1">
      <c r="B162" s="481" t="s">
        <v>4786</v>
      </c>
      <c r="C162" s="2383"/>
      <c r="E162" s="1744" t="s">
        <v>4787</v>
      </c>
      <c r="F162" s="1726" t="s">
        <v>4761</v>
      </c>
      <c r="G162" s="1726" t="s">
        <v>3284</v>
      </c>
      <c r="H162" s="2393">
        <v>2017</v>
      </c>
      <c r="I162" s="2393">
        <v>2018</v>
      </c>
      <c r="J162" s="2393">
        <v>2019</v>
      </c>
      <c r="K162" s="2952"/>
      <c r="L162" s="3973"/>
      <c r="M162" s="2952"/>
      <c r="N162" s="1436"/>
      <c r="O162" s="3846"/>
      <c r="P162" s="3846"/>
      <c r="Q162" s="3968"/>
      <c r="R162" s="3968"/>
      <c r="S162" s="3968"/>
      <c r="T162" s="3968"/>
      <c r="U162" s="3968"/>
      <c r="V162" s="3968"/>
      <c r="X162" s="1742" t="s">
        <v>4780</v>
      </c>
      <c r="Y162" s="1128">
        <v>75.930000000000007</v>
      </c>
      <c r="Z162" s="1128">
        <v>73.77</v>
      </c>
      <c r="AA162" s="1128">
        <v>76.430000000000007</v>
      </c>
      <c r="AB162" s="2401"/>
      <c r="AD162" s="2401"/>
      <c r="AE162" s="2401"/>
      <c r="AF162" s="2401"/>
      <c r="AG162" s="2401"/>
      <c r="AH162" s="2401"/>
      <c r="AI162" s="2401"/>
      <c r="AJ162" s="2401"/>
    </row>
    <row r="163" spans="1:36" s="43" customFormat="1" ht="12" customHeight="1">
      <c r="A163" s="1733" t="str">
        <f>IF(OR(M163="Yes", O163="Yes", AND(B163="",F163="",G163="",H163="",I163="",J163="",L163="",O163="")),"", IF(AND(NOT(B163=""),OR(O163="",O163="No",O163="N/a"),OR(F163="",G163=""),AND(H163="",I163="",J163=""),L163=""),"Finish!","Check"))</f>
        <v/>
      </c>
      <c r="B163" s="3974" t="s">
        <v>7096</v>
      </c>
      <c r="C163" s="3975"/>
      <c r="D163" s="3976"/>
      <c r="E163" s="2295" t="s">
        <v>1568</v>
      </c>
      <c r="F163" s="2296" t="s">
        <v>2889</v>
      </c>
      <c r="G163" s="2297" t="s">
        <v>7099</v>
      </c>
      <c r="H163" s="2298">
        <v>82.5</v>
      </c>
      <c r="I163" s="2299">
        <v>73.599999999999994</v>
      </c>
      <c r="J163" s="2299">
        <v>72.3</v>
      </c>
      <c r="K163" s="1609">
        <f t="shared" ref="K163:K172" si="0">IF(H163+I163+J163=0,"",AVERAGE(H163,I163,J163))</f>
        <v>76.133333333333326</v>
      </c>
      <c r="L163" s="2300">
        <v>75.930000000000007</v>
      </c>
      <c r="M163" s="1606" t="str">
        <f>IF(OR(K163="",L163=""),"",IF(K163&gt;L163,"Yes",IF(K163&lt;L163,"No","")))</f>
        <v>Yes</v>
      </c>
      <c r="O163" s="2256" t="s">
        <v>2889</v>
      </c>
      <c r="P163" s="518"/>
      <c r="Q163" s="447">
        <f>IF(AND(B163="",F163="",G163="",H163="",I163="",J163="",L163="",O163=""),0,1)</f>
        <v>1</v>
      </c>
      <c r="R163" s="3969">
        <f>SUM(Q163:Q172)</f>
        <v>3</v>
      </c>
      <c r="S163" s="1732">
        <f t="shared" ref="S163:S172" si="1">IF(AND(M163="",NOT(O163="Yes")),0,1)</f>
        <v>1</v>
      </c>
      <c r="T163" s="3969">
        <f>SUM(S163:S172)</f>
        <v>3</v>
      </c>
      <c r="U163" s="1732">
        <f t="shared" ref="U163:U172" si="2">IF(OR(M163="Yes",O163="Yes"),1,0)</f>
        <v>1</v>
      </c>
      <c r="V163" s="3969">
        <f>SUM(U163:U172)</f>
        <v>1</v>
      </c>
      <c r="X163" s="1742" t="s">
        <v>4781</v>
      </c>
      <c r="Y163" s="1128">
        <v>77.45</v>
      </c>
      <c r="Z163" s="1128">
        <v>74.150000000000006</v>
      </c>
      <c r="AA163" s="1128">
        <v>76.150000000000006</v>
      </c>
      <c r="AB163" s="2401"/>
      <c r="AD163" s="2401"/>
      <c r="AE163" s="2401"/>
      <c r="AF163" s="2401"/>
      <c r="AG163" s="2401"/>
      <c r="AH163" s="2401"/>
      <c r="AI163" s="2401"/>
      <c r="AJ163" s="2401"/>
    </row>
    <row r="164" spans="1:36" s="43" customFormat="1" ht="12" customHeight="1">
      <c r="A164" s="1733" t="str">
        <f t="shared" ref="A164:A172" si="3">IF(OR(M164="Yes", O164="Yes", AND(B164="",F164="",G164="",H164="",I164="",J164="",L164="",O164="")),"", IF(AND(NOT(B164=""),OR(O164="",O164="No",O164="N/a"),OR(F164="",G164=""),AND(H164="",I164="",J164=""),L164=""),"Finish!","Check"))</f>
        <v>Check</v>
      </c>
      <c r="B164" s="3970" t="s">
        <v>7097</v>
      </c>
      <c r="C164" s="3971"/>
      <c r="D164" s="3972"/>
      <c r="E164" s="2301" t="s">
        <v>1568</v>
      </c>
      <c r="F164" s="2302" t="s">
        <v>2889</v>
      </c>
      <c r="G164" s="2303" t="s">
        <v>4784</v>
      </c>
      <c r="H164" s="2304">
        <v>69.099999999999994</v>
      </c>
      <c r="I164" s="2305">
        <v>74.2</v>
      </c>
      <c r="J164" s="2305">
        <v>72.8</v>
      </c>
      <c r="K164" s="1610">
        <f t="shared" si="0"/>
        <v>72.033333333333346</v>
      </c>
      <c r="L164" s="2306">
        <v>73.77</v>
      </c>
      <c r="M164" s="1607" t="str">
        <f>IF(L164="","",IF(K164&gt;L164,"Yes",IF(K164&lt;L164,"No","")))</f>
        <v>No</v>
      </c>
      <c r="O164" s="2257" t="s">
        <v>2889</v>
      </c>
      <c r="P164" s="519"/>
      <c r="Q164" s="447">
        <f t="shared" ref="Q164:Q172" si="4">IF(AND(B164="",F164="",G164="",H164="",I164="",J164="",L164="",O164=""),0,1)</f>
        <v>1</v>
      </c>
      <c r="R164" s="3969"/>
      <c r="S164" s="1732">
        <f t="shared" si="1"/>
        <v>1</v>
      </c>
      <c r="T164" s="3969"/>
      <c r="U164" s="1732">
        <f t="shared" si="2"/>
        <v>0</v>
      </c>
      <c r="V164" s="3969"/>
      <c r="X164" s="1742">
        <v>2019</v>
      </c>
      <c r="Y164" s="1128">
        <v>77.099999999999994</v>
      </c>
      <c r="Z164" s="1128">
        <v>72.099999999999994</v>
      </c>
      <c r="AA164" s="1128">
        <v>77</v>
      </c>
      <c r="AB164" s="2401"/>
      <c r="AC164" s="2401"/>
      <c r="AD164" s="2401"/>
      <c r="AE164" s="2401"/>
      <c r="AF164" s="2401"/>
      <c r="AG164" s="2401"/>
      <c r="AH164" s="2401"/>
      <c r="AI164" s="2401"/>
      <c r="AJ164" s="2401"/>
    </row>
    <row r="165" spans="1:36" s="43" customFormat="1" ht="12" customHeight="1">
      <c r="A165" s="1733" t="str">
        <f t="shared" si="3"/>
        <v>Check</v>
      </c>
      <c r="B165" s="3970" t="s">
        <v>7098</v>
      </c>
      <c r="C165" s="3971"/>
      <c r="D165" s="3972"/>
      <c r="E165" s="2301" t="s">
        <v>1568</v>
      </c>
      <c r="F165" s="2302" t="s">
        <v>2889</v>
      </c>
      <c r="G165" s="2303" t="s">
        <v>4785</v>
      </c>
      <c r="H165" s="2304">
        <v>70.5</v>
      </c>
      <c r="I165" s="2305">
        <v>70.400000000000006</v>
      </c>
      <c r="J165" s="2305">
        <v>74</v>
      </c>
      <c r="K165" s="1610">
        <f t="shared" si="0"/>
        <v>71.63333333333334</v>
      </c>
      <c r="L165" s="2306">
        <v>76.430000000000007</v>
      </c>
      <c r="M165" s="1607" t="str">
        <f t="shared" ref="M165:M172" si="5">IF(L165="","",IF(K165&gt;L165,"Yes",IF(K165&lt;L165,"No","")))</f>
        <v>No</v>
      </c>
      <c r="O165" s="2257" t="s">
        <v>2889</v>
      </c>
      <c r="P165" s="519"/>
      <c r="Q165" s="447">
        <f t="shared" si="4"/>
        <v>1</v>
      </c>
      <c r="R165" s="3969"/>
      <c r="S165" s="1732">
        <f t="shared" si="1"/>
        <v>1</v>
      </c>
      <c r="T165" s="3969"/>
      <c r="U165" s="1732">
        <f t="shared" si="2"/>
        <v>0</v>
      </c>
      <c r="V165" s="3969"/>
      <c r="Y165" s="2401"/>
      <c r="Z165" s="2401"/>
      <c r="AA165" s="2401"/>
      <c r="AB165" s="2401"/>
      <c r="AC165" s="2401"/>
      <c r="AD165" s="2401"/>
      <c r="AE165" s="2401"/>
      <c r="AF165" s="2401"/>
      <c r="AG165" s="2401"/>
      <c r="AH165" s="2401"/>
      <c r="AI165" s="2401"/>
      <c r="AJ165" s="2401"/>
    </row>
    <row r="166" spans="1:36" s="43" customFormat="1" ht="12" customHeight="1">
      <c r="A166" s="1733" t="str">
        <f t="shared" si="3"/>
        <v/>
      </c>
      <c r="B166" s="3970"/>
      <c r="C166" s="3971"/>
      <c r="D166" s="3972"/>
      <c r="E166" s="2301" t="s">
        <v>4378</v>
      </c>
      <c r="F166" s="2302"/>
      <c r="G166" s="2303"/>
      <c r="H166" s="2304"/>
      <c r="I166" s="2305"/>
      <c r="J166" s="2305"/>
      <c r="K166" s="1610" t="str">
        <f t="shared" si="0"/>
        <v/>
      </c>
      <c r="L166" s="2306"/>
      <c r="M166" s="1607" t="str">
        <f t="shared" si="5"/>
        <v/>
      </c>
      <c r="O166" s="2257"/>
      <c r="P166" s="519"/>
      <c r="Q166" s="447">
        <f t="shared" si="4"/>
        <v>0</v>
      </c>
      <c r="R166" s="3969"/>
      <c r="S166" s="1732">
        <f t="shared" si="1"/>
        <v>0</v>
      </c>
      <c r="T166" s="3969"/>
      <c r="U166" s="1732">
        <f t="shared" si="2"/>
        <v>0</v>
      </c>
      <c r="V166" s="3969"/>
      <c r="Y166" s="2401"/>
      <c r="Z166" s="2401"/>
      <c r="AA166" s="2401"/>
      <c r="AB166" s="2401"/>
      <c r="AC166" s="2401"/>
      <c r="AD166" s="2401"/>
      <c r="AE166" s="2401"/>
      <c r="AF166" s="2401"/>
      <c r="AG166" s="2401"/>
      <c r="AH166" s="2401"/>
      <c r="AI166" s="2401"/>
      <c r="AJ166" s="2401"/>
    </row>
    <row r="167" spans="1:36" s="43" customFormat="1" ht="12" customHeight="1">
      <c r="A167" s="1733" t="str">
        <f t="shared" si="3"/>
        <v/>
      </c>
      <c r="B167" s="3970"/>
      <c r="C167" s="3971"/>
      <c r="D167" s="3972"/>
      <c r="E167" s="2301" t="s">
        <v>4378</v>
      </c>
      <c r="F167" s="2302"/>
      <c r="G167" s="2303"/>
      <c r="H167" s="2304"/>
      <c r="I167" s="2305"/>
      <c r="J167" s="2305"/>
      <c r="K167" s="1610" t="str">
        <f t="shared" si="0"/>
        <v/>
      </c>
      <c r="L167" s="2306"/>
      <c r="M167" s="1607" t="str">
        <f t="shared" si="5"/>
        <v/>
      </c>
      <c r="O167" s="2257"/>
      <c r="P167" s="519"/>
      <c r="Q167" s="447">
        <f t="shared" si="4"/>
        <v>0</v>
      </c>
      <c r="R167" s="3969"/>
      <c r="S167" s="1732">
        <f t="shared" si="1"/>
        <v>0</v>
      </c>
      <c r="T167" s="3969"/>
      <c r="U167" s="1732">
        <f t="shared" si="2"/>
        <v>0</v>
      </c>
      <c r="V167" s="3969"/>
      <c r="Y167" s="2401"/>
      <c r="Z167" s="2401"/>
      <c r="AA167" s="2401"/>
      <c r="AB167" s="2401"/>
      <c r="AC167" s="2401"/>
      <c r="AD167" s="2401"/>
      <c r="AE167" s="2401"/>
      <c r="AF167" s="2401"/>
      <c r="AG167" s="2401"/>
      <c r="AH167" s="2401"/>
      <c r="AI167" s="2401"/>
      <c r="AJ167" s="2401"/>
    </row>
    <row r="168" spans="1:36" s="43" customFormat="1" ht="12" customHeight="1">
      <c r="A168" s="1733" t="str">
        <f t="shared" si="3"/>
        <v/>
      </c>
      <c r="B168" s="3970"/>
      <c r="C168" s="3971"/>
      <c r="D168" s="3972"/>
      <c r="E168" s="2301" t="s">
        <v>4378</v>
      </c>
      <c r="F168" s="2302"/>
      <c r="G168" s="2303"/>
      <c r="H168" s="2304"/>
      <c r="I168" s="2305"/>
      <c r="J168" s="2305"/>
      <c r="K168" s="1610" t="str">
        <f t="shared" si="0"/>
        <v/>
      </c>
      <c r="L168" s="2306"/>
      <c r="M168" s="1607" t="str">
        <f t="shared" si="5"/>
        <v/>
      </c>
      <c r="O168" s="2257"/>
      <c r="P168" s="519"/>
      <c r="Q168" s="447">
        <f t="shared" si="4"/>
        <v>0</v>
      </c>
      <c r="R168" s="3969"/>
      <c r="S168" s="1732">
        <f t="shared" si="1"/>
        <v>0</v>
      </c>
      <c r="T168" s="3969"/>
      <c r="U168" s="1732">
        <f t="shared" si="2"/>
        <v>0</v>
      </c>
      <c r="V168" s="3969"/>
      <c r="Y168" s="2401"/>
      <c r="Z168" s="2401"/>
      <c r="AA168" s="2401"/>
      <c r="AB168" s="2401"/>
      <c r="AC168" s="2401"/>
      <c r="AD168" s="2401"/>
      <c r="AE168" s="2401"/>
      <c r="AF168" s="2401"/>
      <c r="AG168" s="2401"/>
      <c r="AH168" s="2401"/>
      <c r="AI168" s="2401"/>
      <c r="AJ168" s="2401"/>
    </row>
    <row r="169" spans="1:36" s="43" customFormat="1" ht="12" customHeight="1">
      <c r="A169" s="1733" t="str">
        <f t="shared" ref="A169:A170" si="6">IF(OR(M169="Yes", O169="Yes", AND(B169="",F169="",G169="",H169="",I169="",J169="",L169="",O169="")),"", IF(AND(NOT(B169=""),OR(O169="",O169="No",O169="N/a"),OR(F169="",G169=""),AND(H169="",I169="",J169=""),L169=""),"Finish!","Check"))</f>
        <v/>
      </c>
      <c r="B169" s="3970"/>
      <c r="C169" s="3971"/>
      <c r="D169" s="3972"/>
      <c r="E169" s="2301" t="s">
        <v>4378</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969"/>
      <c r="S169" s="1732">
        <f t="shared" ref="S169:S170" si="10">IF(AND(M169="",NOT(O169="Yes")),0,1)</f>
        <v>0</v>
      </c>
      <c r="T169" s="3969"/>
      <c r="U169" s="1732">
        <f t="shared" ref="U169:U170" si="11">IF(OR(M169="Yes",O169="Yes"),1,0)</f>
        <v>0</v>
      </c>
      <c r="V169" s="3969"/>
    </row>
    <row r="170" spans="1:36" s="43" customFormat="1" ht="12" customHeight="1">
      <c r="A170" s="1733" t="str">
        <f t="shared" si="6"/>
        <v/>
      </c>
      <c r="B170" s="3970"/>
      <c r="C170" s="3971"/>
      <c r="D170" s="3972"/>
      <c r="E170" s="2301" t="s">
        <v>4378</v>
      </c>
      <c r="F170" s="2302"/>
      <c r="G170" s="2303"/>
      <c r="H170" s="2304"/>
      <c r="I170" s="2305"/>
      <c r="J170" s="2305"/>
      <c r="K170" s="1610" t="str">
        <f t="shared" si="7"/>
        <v/>
      </c>
      <c r="L170" s="2306"/>
      <c r="M170" s="1607" t="str">
        <f t="shared" si="8"/>
        <v/>
      </c>
      <c r="O170" s="2257"/>
      <c r="P170" s="519"/>
      <c r="Q170" s="447">
        <f t="shared" si="9"/>
        <v>0</v>
      </c>
      <c r="R170" s="3969"/>
      <c r="S170" s="1732">
        <f t="shared" si="10"/>
        <v>0</v>
      </c>
      <c r="T170" s="3969"/>
      <c r="U170" s="1732">
        <f t="shared" si="11"/>
        <v>0</v>
      </c>
      <c r="V170" s="3969"/>
    </row>
    <row r="171" spans="1:36" s="43" customFormat="1" ht="12" customHeight="1">
      <c r="A171" s="1733" t="str">
        <f t="shared" ref="A171" si="12">IF(OR(M171="Yes", O171="Yes", AND(B171="",F171="",G171="",H171="",I171="",J171="",L171="",O171="")),"", IF(AND(NOT(B171=""),OR(O171="",O171="No",O171="N/a"),OR(F171="",G171=""),AND(H171="",I171="",J171=""),L171=""),"Finish!","Check"))</f>
        <v/>
      </c>
      <c r="B171" s="3970"/>
      <c r="C171" s="3971"/>
      <c r="D171" s="3972"/>
      <c r="E171" s="2301" t="s">
        <v>4378</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969"/>
      <c r="S171" s="1732">
        <f t="shared" ref="S171" si="16">IF(AND(M171="",NOT(O171="Yes")),0,1)</f>
        <v>0</v>
      </c>
      <c r="T171" s="3969"/>
      <c r="U171" s="1732">
        <f t="shared" ref="U171" si="17">IF(OR(M171="Yes",O171="Yes"),1,0)</f>
        <v>0</v>
      </c>
      <c r="V171" s="3969"/>
    </row>
    <row r="172" spans="1:36" s="43" customFormat="1" ht="12" customHeight="1">
      <c r="A172" s="1733" t="str">
        <f t="shared" si="3"/>
        <v/>
      </c>
      <c r="B172" s="3979"/>
      <c r="C172" s="3980"/>
      <c r="D172" s="3981"/>
      <c r="E172" s="2307" t="s">
        <v>4378</v>
      </c>
      <c r="F172" s="2308"/>
      <c r="G172" s="2309"/>
      <c r="H172" s="2310"/>
      <c r="I172" s="2311"/>
      <c r="J172" s="2311"/>
      <c r="K172" s="1611" t="str">
        <f t="shared" si="0"/>
        <v/>
      </c>
      <c r="L172" s="2312"/>
      <c r="M172" s="1608" t="str">
        <f t="shared" si="5"/>
        <v/>
      </c>
      <c r="O172" s="2258"/>
      <c r="P172" s="520"/>
      <c r="Q172" s="447">
        <f t="shared" si="4"/>
        <v>0</v>
      </c>
      <c r="R172" s="3969"/>
      <c r="S172" s="1732">
        <f t="shared" si="1"/>
        <v>0</v>
      </c>
      <c r="T172" s="3969"/>
      <c r="U172" s="1732">
        <f t="shared" si="2"/>
        <v>0</v>
      </c>
      <c r="V172" s="3969"/>
    </row>
    <row r="173" spans="1:36" s="43" customFormat="1" ht="1.5" customHeight="1">
      <c r="A173" s="373"/>
      <c r="B173" s="564"/>
      <c r="L173" s="2401"/>
    </row>
    <row r="174" spans="1:36" s="55" customFormat="1" ht="6" customHeight="1" thickBot="1">
      <c r="A174" s="861"/>
      <c r="B174" s="424"/>
    </row>
    <row r="175" spans="1:36" s="102" customFormat="1" ht="13.5" customHeight="1" thickBot="1">
      <c r="A175" s="178" t="s">
        <v>1938</v>
      </c>
      <c r="B175" s="10" t="s">
        <v>3732</v>
      </c>
      <c r="C175" s="92"/>
      <c r="D175" s="1038"/>
      <c r="E175" s="1038"/>
      <c r="F175" s="61"/>
      <c r="H175" s="40" t="s">
        <v>4566</v>
      </c>
      <c r="M175" s="426">
        <v>2</v>
      </c>
      <c r="N175" s="174"/>
      <c r="O175" s="1041">
        <f>IF(AND(I184="Yes",I185="Yes"),$H$185,IF(AND(I184="Yes",I185="No"),$H$184,0))</f>
        <v>1</v>
      </c>
      <c r="P175" s="1041">
        <f>IF(AND(J184="Yes",J185="Yes"),$H$185,IF(AND(J184="Yes",J185="No"),$H$184,0))</f>
        <v>0</v>
      </c>
      <c r="Q175" s="2374"/>
      <c r="R175" s="1723"/>
    </row>
    <row r="176" spans="1:36" s="55" customFormat="1" ht="12.75" customHeight="1">
      <c r="E176" s="3733" t="s">
        <v>3822</v>
      </c>
      <c r="F176" s="3733" t="s">
        <v>3487</v>
      </c>
      <c r="G176" s="3948" t="s">
        <v>3285</v>
      </c>
      <c r="H176" s="3948"/>
      <c r="I176" s="3948"/>
      <c r="J176" s="3948"/>
      <c r="K176" s="3948"/>
      <c r="L176" s="3948"/>
      <c r="M176" s="3948"/>
      <c r="N176" s="3948"/>
      <c r="P176" s="1066"/>
      <c r="R176" s="52" t="s">
        <v>2735</v>
      </c>
      <c r="S176" s="36"/>
      <c r="T176" s="3725" t="str">
        <f>'Part I-Project Information'!$F$38</f>
        <v>Hartwell</v>
      </c>
      <c r="U176" s="3726"/>
      <c r="V176" s="3726"/>
      <c r="W176" s="3726"/>
      <c r="X176" s="3727"/>
    </row>
    <row r="177" spans="1:24" s="55" customFormat="1" ht="13.5" customHeight="1">
      <c r="A177" s="47"/>
      <c r="B177" s="3735" t="s">
        <v>3735</v>
      </c>
      <c r="C177" s="3735"/>
      <c r="D177" s="3735"/>
      <c r="E177" s="3734"/>
      <c r="F177" s="3734"/>
      <c r="G177" s="3965" t="s">
        <v>3734</v>
      </c>
      <c r="H177" s="3965"/>
      <c r="I177" s="3965"/>
      <c r="J177" s="3965"/>
      <c r="K177" s="3965"/>
      <c r="L177" s="3965"/>
      <c r="M177" s="3965"/>
      <c r="N177" s="3965"/>
      <c r="O177" s="3733" t="s">
        <v>3488</v>
      </c>
      <c r="P177" s="3733"/>
      <c r="R177" s="52" t="s">
        <v>2736</v>
      </c>
      <c r="S177" s="36"/>
      <c r="T177" s="3719" t="str">
        <f>'Part I-Project Information'!$J$39</f>
        <v>Hart</v>
      </c>
      <c r="U177" s="3720"/>
      <c r="V177" s="3720"/>
      <c r="W177" s="3720"/>
      <c r="X177" s="3721"/>
    </row>
    <row r="178" spans="1:24" s="55" customFormat="1" ht="13.5" customHeight="1">
      <c r="A178" s="47"/>
      <c r="B178" s="3942" t="s">
        <v>3622</v>
      </c>
      <c r="C178" s="3943"/>
      <c r="D178" s="3944"/>
      <c r="E178" s="2400">
        <v>3000</v>
      </c>
      <c r="F178" s="2400">
        <v>6000</v>
      </c>
      <c r="G178" s="3964">
        <v>15000</v>
      </c>
      <c r="H178" s="3964"/>
      <c r="I178" s="3964"/>
      <c r="J178" s="3964"/>
      <c r="K178" s="3964"/>
      <c r="L178" s="3964"/>
      <c r="M178" s="3964"/>
      <c r="N178" s="3964"/>
      <c r="O178" s="3964">
        <v>20000</v>
      </c>
      <c r="P178" s="3964"/>
      <c r="R178" s="40" t="s">
        <v>2737</v>
      </c>
      <c r="S178" s="36"/>
      <c r="T178" s="3719" t="str">
        <f>'Part I-Project Information'!$O$40</f>
        <v>Hart Co.</v>
      </c>
      <c r="U178" s="3720"/>
      <c r="V178" s="3720"/>
      <c r="W178" s="3720"/>
      <c r="X178" s="3721"/>
    </row>
    <row r="179" spans="1:24" s="36" customFormat="1" ht="13.5" customHeight="1">
      <c r="A179" s="47"/>
      <c r="B179" s="3756" t="s">
        <v>3733</v>
      </c>
      <c r="C179" s="3757"/>
      <c r="D179" s="3758"/>
      <c r="E179" s="2396">
        <v>4500</v>
      </c>
      <c r="F179" s="2396">
        <v>9000</v>
      </c>
      <c r="G179" s="3736">
        <v>22500</v>
      </c>
      <c r="H179" s="3736"/>
      <c r="I179" s="3736"/>
      <c r="J179" s="3736"/>
      <c r="K179" s="3736"/>
      <c r="L179" s="3736"/>
      <c r="M179" s="3736"/>
      <c r="N179" s="3736"/>
      <c r="O179" s="3736">
        <v>30000</v>
      </c>
      <c r="P179" s="3736"/>
      <c r="R179" s="40" t="s">
        <v>3644</v>
      </c>
      <c r="T179" s="3719" t="str">
        <f>VLOOKUP('Part I-Project Information'!$J$39,'DCA Underwriting Assumptions'!$G$173:$J$332,4)</f>
        <v>Non-MSA</v>
      </c>
      <c r="U179" s="3720"/>
      <c r="V179" s="3720"/>
      <c r="W179" s="3720"/>
      <c r="X179" s="3721"/>
    </row>
    <row r="180" spans="1:24" s="55" customFormat="1" ht="4.5" customHeight="1">
      <c r="A180" s="47"/>
      <c r="B180" s="47"/>
      <c r="C180" s="412"/>
      <c r="K180" s="2393"/>
      <c r="L180" s="2393"/>
    </row>
    <row r="181" spans="1:24" s="55" customFormat="1" ht="12" customHeight="1">
      <c r="B181" s="859" t="s">
        <v>4799</v>
      </c>
      <c r="E181" s="858"/>
      <c r="F181" s="858"/>
      <c r="G181" s="858"/>
      <c r="I181" s="2313">
        <v>3000</v>
      </c>
      <c r="J181" s="2653"/>
      <c r="K181" s="1779" t="str">
        <f>IF(I181="","",IF(I181&lt;E178,"Minimum Jobs Threshold entered is below lowest in chart!",""))</f>
        <v/>
      </c>
      <c r="R181" s="36" t="s">
        <v>3461</v>
      </c>
      <c r="S181" s="36"/>
      <c r="T181" s="3722" t="str">
        <f>'Part I-Project Information'!$K$40</f>
        <v>Rural</v>
      </c>
      <c r="U181" s="3723"/>
      <c r="V181" s="3723"/>
      <c r="W181" s="3723"/>
      <c r="X181" s="3724"/>
    </row>
    <row r="182" spans="1:24" s="55" customFormat="1" ht="12" customHeight="1">
      <c r="A182" s="861"/>
      <c r="B182" s="424" t="s">
        <v>3460</v>
      </c>
      <c r="H182" s="860" t="str">
        <f>IF(I182&lt;I181,"Threshold not met!","")</f>
        <v/>
      </c>
      <c r="I182" s="2314">
        <v>3960</v>
      </c>
      <c r="J182" s="2654"/>
      <c r="K182" s="1068" t="str">
        <f>IF(J182&lt;J181,"Threshold not met!","")</f>
        <v/>
      </c>
    </row>
    <row r="183" spans="1:24" s="55" customFormat="1" ht="3" customHeight="1">
      <c r="A183" s="861"/>
      <c r="B183" s="424"/>
    </row>
    <row r="184" spans="1:24" s="55" customFormat="1" ht="11.25" customHeight="1">
      <c r="B184" s="554" t="s">
        <v>1939</v>
      </c>
      <c r="C184" s="36" t="s">
        <v>3821</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1941</v>
      </c>
      <c r="C185" s="36" t="s">
        <v>3736</v>
      </c>
      <c r="D185" s="1137"/>
      <c r="E185" s="1137"/>
      <c r="F185" s="1137"/>
      <c r="H185" s="1103">
        <v>2</v>
      </c>
      <c r="I185" s="1101" t="str">
        <f>IF(OR(I181="",I182=""),"",IF(I182&gt;=HLOOKUP(I181,$E$178:$P$179,2),"Yes","No"))</f>
        <v>No</v>
      </c>
      <c r="J185" s="1101" t="str">
        <f>IF(OR(J181="",J182=""),"",IF(J182&gt;=HLOOKUP(J181,$E$178:$P$179,2),"Yes","No"))</f>
        <v/>
      </c>
    </row>
    <row r="186" spans="1:24" s="55" customFormat="1" ht="11.25" customHeight="1">
      <c r="B186" s="138"/>
      <c r="C186" s="424" t="s">
        <v>3660</v>
      </c>
      <c r="D186" s="1137"/>
      <c r="E186" s="1137"/>
      <c r="F186" s="1137"/>
      <c r="G186" s="1067"/>
      <c r="I186" s="1102">
        <f>IF(I182="",0,(I182/I181) - 1)</f>
        <v>0.32000000000000006</v>
      </c>
      <c r="J186" s="1102">
        <f>IF(J182="",0,(J182/J181) - 1)</f>
        <v>0</v>
      </c>
      <c r="M186" s="2393"/>
    </row>
    <row r="187" spans="1:24" s="55" customFormat="1" ht="3" customHeight="1">
      <c r="A187" s="47"/>
      <c r="B187" s="47"/>
      <c r="C187" s="412"/>
      <c r="F187" s="2399"/>
      <c r="K187" s="2393"/>
      <c r="L187" s="2393"/>
    </row>
    <row r="188" spans="1:24" s="43" customFormat="1" ht="10.5" customHeight="1" thickBot="1">
      <c r="A188" s="42"/>
      <c r="B188" s="1132" t="s">
        <v>3567</v>
      </c>
      <c r="C188" s="42"/>
      <c r="D188" s="48"/>
      <c r="E188" s="48"/>
      <c r="F188" s="48"/>
      <c r="G188" s="48"/>
      <c r="H188" s="36"/>
      <c r="I188" s="36"/>
      <c r="J188" s="36"/>
      <c r="K188" s="36"/>
      <c r="M188" s="46"/>
      <c r="N188" s="62"/>
      <c r="O188" s="3"/>
      <c r="P188" s="2378"/>
    </row>
    <row r="189" spans="1:24" s="43" customFormat="1" ht="43.5" customHeight="1" thickTop="1" thickBot="1">
      <c r="A189" s="3688" t="s">
        <v>7101</v>
      </c>
      <c r="B189" s="3689"/>
      <c r="C189" s="3689"/>
      <c r="D189" s="3689"/>
      <c r="E189" s="3689"/>
      <c r="F189" s="3689"/>
      <c r="G189" s="3689"/>
      <c r="H189" s="3689"/>
      <c r="I189" s="3689"/>
      <c r="J189" s="3689"/>
      <c r="K189" s="3689"/>
      <c r="L189" s="3689"/>
      <c r="M189" s="3689"/>
      <c r="N189" s="3689"/>
      <c r="O189" s="3689"/>
      <c r="P189" s="3690"/>
      <c r="Q189" s="1027" t="s">
        <v>1228</v>
      </c>
    </row>
    <row r="190" spans="1:24" s="43" customFormat="1" ht="10.5" customHeight="1" thickTop="1">
      <c r="A190" s="42"/>
      <c r="B190" s="85" t="s">
        <v>1820</v>
      </c>
      <c r="C190" s="98"/>
      <c r="D190" s="85"/>
      <c r="E190" s="99"/>
      <c r="F190" s="2381"/>
      <c r="G190" s="2381"/>
      <c r="H190" s="2381"/>
      <c r="I190" s="2381"/>
      <c r="J190" s="2381"/>
      <c r="K190" s="2381"/>
      <c r="L190" s="2381"/>
      <c r="M190" s="2381"/>
      <c r="N190" s="74"/>
      <c r="O190" s="70"/>
      <c r="P190" s="2374"/>
      <c r="Q190" s="422"/>
    </row>
    <row r="191" spans="1:24" s="43" customFormat="1" ht="11.25" customHeight="1">
      <c r="A191" s="3609"/>
      <c r="B191" s="3610"/>
      <c r="C191" s="3610"/>
      <c r="D191" s="3610"/>
      <c r="E191" s="3610"/>
      <c r="F191" s="3610"/>
      <c r="G191" s="3610"/>
      <c r="H191" s="3610"/>
      <c r="I191" s="3610"/>
      <c r="J191" s="3610"/>
      <c r="K191" s="3610"/>
      <c r="L191" s="3610"/>
      <c r="M191" s="3610"/>
      <c r="N191" s="3610"/>
      <c r="O191" s="3610"/>
      <c r="P191" s="3611"/>
      <c r="Q191" s="440"/>
      <c r="U191" s="1437"/>
    </row>
    <row r="192" spans="1:24" s="43" customFormat="1" ht="3" customHeight="1" thickBot="1">
      <c r="A192" s="42"/>
      <c r="C192" s="2381"/>
      <c r="D192" s="2381"/>
      <c r="E192" s="2381"/>
      <c r="F192" s="2381"/>
      <c r="G192" s="2381"/>
      <c r="H192" s="2381"/>
      <c r="I192" s="2381"/>
      <c r="J192" s="2381"/>
      <c r="K192" s="2381"/>
      <c r="L192" s="2381"/>
      <c r="M192" s="2381"/>
      <c r="N192" s="74"/>
      <c r="O192" s="70"/>
      <c r="P192" s="846"/>
    </row>
    <row r="193" spans="1:26" s="102" customFormat="1" ht="12.6" customHeight="1" thickBot="1">
      <c r="A193" s="152" t="s">
        <v>754</v>
      </c>
      <c r="B193" s="106" t="s">
        <v>3737</v>
      </c>
      <c r="C193" s="92"/>
      <c r="D193" s="59"/>
      <c r="E193" s="59"/>
      <c r="I193" s="1015"/>
      <c r="J193" s="1015"/>
      <c r="K193" s="556"/>
      <c r="L193" s="556"/>
      <c r="M193" s="2374">
        <v>7</v>
      </c>
      <c r="N193" s="7"/>
      <c r="O193" s="1040">
        <f>IF(OR(O$150&gt;0,O$265&gt;0,AND(NOT(K199="Yes"),NOT(K201="Yes"),NOT(K202="Yes"),NOT(K203="Yes"))),0,MIN($M$193,O196+O214))</f>
        <v>0</v>
      </c>
      <c r="P193" s="1040">
        <f>IF(OR(P$150&gt;0,P$265&gt;0,AND(NOT(L199="Yes"),NOT(L201="Yes"),NOT(L202="Yes"),NOT(L203="Yes"))),0,MIN($M$193,P196+P214))</f>
        <v>0</v>
      </c>
      <c r="Q193" s="109" t="s">
        <v>433</v>
      </c>
      <c r="R193" s="3743" t="s">
        <v>4568</v>
      </c>
      <c r="S193" s="3744"/>
      <c r="T193" s="3744"/>
      <c r="U193" s="3745"/>
    </row>
    <row r="194" spans="1:26" s="43" customFormat="1" ht="2.25" customHeight="1">
      <c r="A194" s="425"/>
      <c r="C194" s="165"/>
      <c r="D194" s="165"/>
      <c r="E194" s="172"/>
      <c r="F194" s="165"/>
      <c r="G194" s="165"/>
      <c r="H194" s="165"/>
      <c r="I194" s="165"/>
      <c r="J194" s="165"/>
      <c r="K194" s="165"/>
      <c r="L194" s="165"/>
      <c r="M194" s="165"/>
      <c r="N194" s="165"/>
      <c r="O194" s="165"/>
      <c r="P194" s="165"/>
      <c r="R194" s="3746"/>
      <c r="S194" s="3747"/>
      <c r="T194" s="3747"/>
      <c r="U194" s="3748"/>
    </row>
    <row r="195" spans="1:26" s="43" customFormat="1" ht="23.25" customHeight="1">
      <c r="A195" s="425"/>
      <c r="B195" s="3454" t="s">
        <v>4729</v>
      </c>
      <c r="C195" s="3454"/>
      <c r="D195" s="3454"/>
      <c r="E195" s="3454"/>
      <c r="F195" s="3454"/>
      <c r="G195" s="3454"/>
      <c r="H195" s="3454"/>
      <c r="I195" s="3454"/>
      <c r="J195" s="3454"/>
      <c r="K195" s="3454"/>
      <c r="L195" s="3454"/>
      <c r="M195" s="3454"/>
      <c r="N195" s="3454"/>
      <c r="O195" s="3454"/>
      <c r="P195" s="3454"/>
      <c r="R195" s="3746"/>
      <c r="S195" s="3747"/>
      <c r="T195" s="3747"/>
      <c r="U195" s="3748"/>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0</v>
      </c>
      <c r="P196" s="521">
        <f>IF(SUM(P210:P211)=$M$211,0,MIN($M$196,SUM(P210:P211)))</f>
        <v>0</v>
      </c>
      <c r="R196" s="3746"/>
      <c r="S196" s="3747"/>
      <c r="T196" s="3747"/>
      <c r="U196" s="3748"/>
    </row>
    <row r="197" spans="1:26" s="33" customFormat="1" ht="11.25" customHeight="1">
      <c r="B197" s="1735" t="s">
        <v>4599</v>
      </c>
      <c r="D197" s="1735"/>
      <c r="E197" s="1735"/>
      <c r="F197" s="1735"/>
      <c r="G197" s="1735"/>
      <c r="H197" s="1735"/>
      <c r="I197" s="1735"/>
      <c r="J197" s="385"/>
      <c r="K197" s="2315"/>
      <c r="L197" s="2655"/>
      <c r="R197" s="3746"/>
      <c r="S197" s="3747"/>
      <c r="T197" s="3747"/>
      <c r="U197" s="3748"/>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3746"/>
      <c r="S198" s="3747"/>
      <c r="T198" s="3747"/>
      <c r="U198" s="3748"/>
    </row>
    <row r="199" spans="1:26" s="390" customFormat="1" ht="11.25" customHeight="1">
      <c r="B199" s="986" t="s">
        <v>2372</v>
      </c>
      <c r="C199" s="3691" t="s">
        <v>4382</v>
      </c>
      <c r="D199" s="3691"/>
      <c r="E199" s="3691"/>
      <c r="F199" s="3691"/>
      <c r="G199" s="3691"/>
      <c r="H199" s="3691"/>
      <c r="I199" s="3691"/>
      <c r="J199" s="986" t="s">
        <v>2372</v>
      </c>
      <c r="K199" s="2315"/>
      <c r="L199" s="2655"/>
      <c r="M199" s="3958" t="s">
        <v>3640</v>
      </c>
      <c r="N199" s="3959"/>
      <c r="O199" s="3959"/>
      <c r="P199" s="3960"/>
      <c r="R199" s="3746"/>
      <c r="S199" s="3747"/>
      <c r="T199" s="3747"/>
      <c r="U199" s="3748"/>
      <c r="V199" s="1626"/>
      <c r="W199" s="1626"/>
      <c r="X199" s="1626"/>
      <c r="Y199" s="1626"/>
      <c r="Z199" s="1626"/>
    </row>
    <row r="200" spans="1:26" s="43" customFormat="1" ht="11.25" customHeight="1">
      <c r="A200" s="371"/>
      <c r="B200" s="373"/>
      <c r="C200" s="3691"/>
      <c r="D200" s="3691"/>
      <c r="E200" s="3691"/>
      <c r="F200" s="3691"/>
      <c r="G200" s="3691"/>
      <c r="H200" s="3691"/>
      <c r="I200" s="3691"/>
      <c r="J200" s="373"/>
      <c r="K200" s="1128"/>
      <c r="L200" s="1128"/>
      <c r="R200" s="3746"/>
      <c r="S200" s="3747"/>
      <c r="T200" s="3747"/>
      <c r="U200" s="3748"/>
    </row>
    <row r="201" spans="1:26" s="33" customFormat="1" ht="11.25" customHeight="1">
      <c r="B201" s="373" t="s">
        <v>2373</v>
      </c>
      <c r="C201" s="134" t="s">
        <v>4601</v>
      </c>
      <c r="D201" s="481"/>
      <c r="E201" s="481"/>
      <c r="F201" s="481"/>
      <c r="G201" s="481"/>
      <c r="H201" s="481"/>
      <c r="J201" s="373" t="s">
        <v>2373</v>
      </c>
      <c r="K201" s="2316"/>
      <c r="L201" s="2626"/>
      <c r="M201" s="3958" t="s">
        <v>3640</v>
      </c>
      <c r="N201" s="3959"/>
      <c r="O201" s="3959"/>
      <c r="P201" s="3960"/>
      <c r="R201" s="3746"/>
      <c r="S201" s="3747"/>
      <c r="T201" s="3747"/>
      <c r="U201" s="3748"/>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17"/>
      <c r="L202" s="2656"/>
      <c r="R202" s="3746"/>
      <c r="S202" s="3747"/>
      <c r="T202" s="3747"/>
      <c r="U202" s="3748"/>
      <c r="V202" s="548"/>
      <c r="W202" s="548"/>
      <c r="X202" s="548"/>
      <c r="Y202" s="548"/>
      <c r="Z202" s="548"/>
    </row>
    <row r="203" spans="1:26" s="43" customFormat="1" ht="11.25" customHeight="1">
      <c r="A203" s="371"/>
      <c r="C203" s="373" t="s">
        <v>2375</v>
      </c>
      <c r="D203" s="428" t="s">
        <v>4381</v>
      </c>
      <c r="E203" s="1478"/>
      <c r="F203" s="1478"/>
      <c r="G203" s="1478"/>
      <c r="H203" s="1478"/>
      <c r="I203" s="1478"/>
      <c r="J203" s="373" t="s">
        <v>2375</v>
      </c>
      <c r="K203" s="2318"/>
      <c r="L203" s="2657"/>
      <c r="M203" s="481"/>
      <c r="N203" s="481"/>
      <c r="O203" s="481"/>
      <c r="P203" s="481"/>
      <c r="R203" s="3746"/>
      <c r="S203" s="3747"/>
      <c r="T203" s="3747"/>
      <c r="U203" s="3748"/>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3746"/>
      <c r="S204" s="3747"/>
      <c r="T204" s="3747"/>
      <c r="U204" s="3748"/>
    </row>
    <row r="205" spans="1:26" s="102" customFormat="1" ht="11.25" customHeight="1">
      <c r="A205" s="425"/>
      <c r="B205" s="373" t="s">
        <v>2376</v>
      </c>
      <c r="C205" s="3954" t="s">
        <v>4567</v>
      </c>
      <c r="D205" s="3954"/>
      <c r="E205" s="3954"/>
      <c r="F205" s="3954"/>
      <c r="G205" s="3954"/>
      <c r="J205" s="373" t="s">
        <v>2376</v>
      </c>
      <c r="K205" s="2319"/>
      <c r="L205" s="2626"/>
      <c r="M205" s="3945" t="s">
        <v>3640</v>
      </c>
      <c r="N205" s="3946"/>
      <c r="O205" s="3946"/>
      <c r="P205" s="3947"/>
      <c r="Q205" s="1612">
        <f>IF(K205="Yes",1,0)</f>
        <v>0</v>
      </c>
      <c r="R205" s="3746"/>
      <c r="S205" s="3747"/>
      <c r="T205" s="3747"/>
      <c r="U205" s="3748"/>
      <c r="V205" s="1612">
        <f>IF(L205="Yes",1,0)</f>
        <v>0</v>
      </c>
    </row>
    <row r="206" spans="1:26" s="33" customFormat="1" ht="11.25" customHeight="1">
      <c r="B206" s="385" t="s">
        <v>2392</v>
      </c>
      <c r="C206" s="481" t="s">
        <v>4311</v>
      </c>
      <c r="D206" s="481"/>
      <c r="E206" s="481"/>
      <c r="F206" s="481"/>
      <c r="G206" s="481"/>
      <c r="H206" s="481"/>
      <c r="J206" s="385" t="s">
        <v>2392</v>
      </c>
      <c r="K206" s="2320"/>
      <c r="L206" s="2627"/>
      <c r="M206" s="3961" t="s">
        <v>3640</v>
      </c>
      <c r="N206" s="3962"/>
      <c r="O206" s="3962"/>
      <c r="P206" s="3963"/>
      <c r="Q206" s="1612">
        <f t="shared" ref="Q206:Q207" si="18">IF(K206="Yes",1,0)</f>
        <v>0</v>
      </c>
      <c r="R206" s="3746"/>
      <c r="S206" s="3747"/>
      <c r="T206" s="3747"/>
      <c r="U206" s="3748"/>
      <c r="V206" s="1612">
        <f>IF(L206="Yes",1,0)</f>
        <v>0</v>
      </c>
      <c r="W206" s="548"/>
      <c r="X206" s="548"/>
      <c r="Y206" s="548"/>
      <c r="Z206" s="548"/>
    </row>
    <row r="207" spans="1:26" s="33" customFormat="1" ht="10.95" customHeight="1">
      <c r="B207" s="385" t="s">
        <v>2393</v>
      </c>
      <c r="C207" s="52" t="s">
        <v>4594</v>
      </c>
      <c r="D207" s="481"/>
      <c r="E207" s="481"/>
      <c r="F207" s="481"/>
      <c r="G207" s="481"/>
      <c r="J207" s="385" t="s">
        <v>2393</v>
      </c>
      <c r="K207" s="2321"/>
      <c r="L207" s="2628"/>
      <c r="M207" s="3737" t="s">
        <v>3640</v>
      </c>
      <c r="N207" s="3738"/>
      <c r="O207" s="3738"/>
      <c r="P207" s="3739"/>
      <c r="Q207" s="1612">
        <f t="shared" si="18"/>
        <v>0</v>
      </c>
      <c r="R207" s="3746"/>
      <c r="S207" s="3747"/>
      <c r="T207" s="3747"/>
      <c r="U207" s="3748"/>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749"/>
      <c r="S208" s="3750"/>
      <c r="T208" s="3750"/>
      <c r="U208" s="3751"/>
    </row>
    <row r="209" spans="1:26" ht="11.25" customHeight="1">
      <c r="B209" s="1715" t="s">
        <v>4312</v>
      </c>
      <c r="H209" s="158"/>
      <c r="N209" s="27"/>
      <c r="O209" s="27"/>
      <c r="P209" s="27"/>
      <c r="Q209" s="983"/>
      <c r="U209" s="158"/>
      <c r="V209" s="158"/>
      <c r="W209" s="158"/>
      <c r="X209" s="2371"/>
      <c r="Y209" s="385"/>
      <c r="Z209" s="158"/>
    </row>
    <row r="210" spans="1:26" ht="22.5" customHeight="1">
      <c r="A210" s="498"/>
      <c r="B210" s="562" t="s">
        <v>1939</v>
      </c>
      <c r="C210" s="3869" t="s">
        <v>4370</v>
      </c>
      <c r="D210" s="3869"/>
      <c r="E210" s="3869"/>
      <c r="F210" s="3869"/>
      <c r="G210" s="3869"/>
      <c r="H210" s="3869"/>
      <c r="I210" s="3869"/>
      <c r="J210" s="3869"/>
      <c r="K210" s="3869"/>
      <c r="L210" s="3869"/>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4369</v>
      </c>
      <c r="D211" s="985"/>
      <c r="E211" s="985"/>
      <c r="F211" s="985"/>
      <c r="G211" s="985"/>
      <c r="H211" s="985"/>
      <c r="I211" s="985"/>
      <c r="J211" s="428" t="s">
        <v>3589</v>
      </c>
      <c r="K211" s="33"/>
      <c r="L211" s="1473" t="str">
        <f>'Part I-Project Information'!$N$39</f>
        <v>No</v>
      </c>
      <c r="M211" s="2391">
        <v>2</v>
      </c>
      <c r="N211" s="430" t="s">
        <v>1941</v>
      </c>
      <c r="O211" s="2322"/>
      <c r="P211" s="2658"/>
      <c r="Q211" s="1477" t="str">
        <f>IF(OR($O211=$M211,$O211=0,$O211=""),"","*CHECK!*")</f>
        <v/>
      </c>
      <c r="R211" s="974" t="s">
        <v>4767</v>
      </c>
    </row>
    <row r="212" spans="1:26" ht="12" customHeight="1">
      <c r="A212" s="498"/>
      <c r="B212" s="562"/>
      <c r="C212" s="3954" t="s">
        <v>4569</v>
      </c>
      <c r="D212" s="3954"/>
      <c r="E212" s="3954"/>
      <c r="F212" s="3954"/>
      <c r="G212" s="3954"/>
      <c r="H212" s="3954"/>
      <c r="I212" s="1448"/>
      <c r="J212" s="428" t="s">
        <v>3439</v>
      </c>
      <c r="K212" s="1475"/>
      <c r="L212" s="1474" t="str">
        <f>'Part I-Project Information'!$O$38</f>
        <v>9605</v>
      </c>
      <c r="M212" s="1449"/>
      <c r="N212" s="1077"/>
      <c r="O212" s="1077"/>
      <c r="P212" s="1077"/>
      <c r="Q212" s="978"/>
      <c r="R212" s="974"/>
    </row>
    <row r="213" spans="1:26" ht="12" customHeight="1">
      <c r="A213" s="498"/>
      <c r="B213" s="465"/>
      <c r="C213" s="3954"/>
      <c r="D213" s="3954"/>
      <c r="E213" s="3954"/>
      <c r="F213" s="3954"/>
      <c r="G213" s="3954"/>
      <c r="H213" s="3954"/>
      <c r="J213" s="428" t="s">
        <v>3265</v>
      </c>
      <c r="K213" s="33"/>
      <c r="L213" s="1472" t="str">
        <f>'Part IV-A-Uses of Funds'!$H$152</f>
        <v>State Boost</v>
      </c>
      <c r="M213" s="1472"/>
      <c r="N213" s="27"/>
      <c r="O213" s="27"/>
      <c r="P213" s="27"/>
      <c r="R213" s="158"/>
    </row>
    <row r="214" spans="1:26" ht="12" customHeight="1">
      <c r="A214" s="138" t="s">
        <v>1938</v>
      </c>
      <c r="B214" s="177" t="s">
        <v>4313</v>
      </c>
      <c r="D214" s="33"/>
      <c r="F214" s="1443"/>
      <c r="K214" s="1104"/>
      <c r="L214" s="374" t="str">
        <f>IF(OR($O214=$M214,$O214=0,$O214=""),"","* * Check Score! * *")</f>
        <v/>
      </c>
      <c r="M214" s="426">
        <v>2</v>
      </c>
      <c r="N214" s="63" t="s">
        <v>1938</v>
      </c>
      <c r="O214" s="2291"/>
      <c r="P214" s="2659"/>
      <c r="Q214" s="978" t="str">
        <f>IF(OR($O214=$M214,$O214=0,$O214=""),"","*CHECK!*")</f>
        <v/>
      </c>
      <c r="R214" s="974" t="s">
        <v>4767</v>
      </c>
    </row>
    <row r="215" spans="1:26" s="43" customFormat="1" ht="9.75" customHeight="1">
      <c r="A215" s="138"/>
      <c r="B215" s="102"/>
      <c r="C215" s="36" t="s">
        <v>2703</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3641</v>
      </c>
      <c r="D216" s="102"/>
      <c r="E216" s="102"/>
      <c r="F216" s="102"/>
      <c r="G216" s="102"/>
      <c r="H216" s="102"/>
      <c r="I216" s="102"/>
      <c r="J216" s="3955"/>
      <c r="K216" s="3956"/>
      <c r="L216" s="3956"/>
      <c r="M216" s="3956"/>
      <c r="N216" s="3956"/>
      <c r="O216" s="3956"/>
      <c r="P216" s="3957"/>
      <c r="V216" s="1023"/>
      <c r="W216" s="1023"/>
    </row>
    <row r="217" spans="1:26" s="43" customFormat="1" ht="11.25" customHeight="1">
      <c r="A217" s="175"/>
      <c r="B217" s="455" t="s">
        <v>3591</v>
      </c>
      <c r="C217" s="428" t="s">
        <v>3642</v>
      </c>
      <c r="D217" s="102"/>
      <c r="E217" s="102"/>
      <c r="F217" s="102"/>
      <c r="G217" s="102"/>
      <c r="H217" s="102"/>
      <c r="I217" s="1412" t="str">
        <f>IF($J$217="Government", "Additional documentation required - see QAP.","")</f>
        <v/>
      </c>
      <c r="J217" s="3504" t="s">
        <v>2731</v>
      </c>
      <c r="K217" s="3765"/>
      <c r="L217" s="3766"/>
      <c r="M217" s="102"/>
      <c r="N217" s="102"/>
      <c r="O217" s="102"/>
      <c r="P217" s="102"/>
      <c r="V217" s="1023"/>
      <c r="W217" s="1023"/>
    </row>
    <row r="218" spans="1:26" ht="11.25" customHeight="1">
      <c r="A218" s="176"/>
      <c r="B218" s="455" t="s">
        <v>3592</v>
      </c>
      <c r="C218" s="428" t="s">
        <v>4570</v>
      </c>
      <c r="D218" s="33"/>
      <c r="E218" s="33"/>
      <c r="F218" s="561"/>
      <c r="G218" s="561"/>
      <c r="H218" s="561"/>
      <c r="I218" s="33"/>
      <c r="J218" s="2256"/>
      <c r="K218" s="3761" t="s">
        <v>4315</v>
      </c>
      <c r="L218" s="3762"/>
      <c r="M218" s="3762"/>
      <c r="N218" s="3762"/>
      <c r="O218" s="1439"/>
      <c r="P218" s="92"/>
      <c r="V218" s="1023"/>
      <c r="W218" s="1023"/>
    </row>
    <row r="219" spans="1:26" ht="11.25" customHeight="1">
      <c r="A219" s="176"/>
      <c r="B219" s="385" t="s">
        <v>3594</v>
      </c>
      <c r="C219" s="428" t="s">
        <v>4314</v>
      </c>
      <c r="D219" s="33"/>
      <c r="E219" s="33"/>
      <c r="F219" s="561"/>
      <c r="G219" s="561"/>
      <c r="H219" s="561"/>
      <c r="I219" s="33"/>
      <c r="J219" s="2257"/>
      <c r="K219" s="3761"/>
      <c r="L219" s="3762"/>
      <c r="M219" s="3762"/>
      <c r="N219" s="3762"/>
      <c r="O219" s="2323"/>
      <c r="P219" s="1440" t="s">
        <v>3597</v>
      </c>
      <c r="V219" s="1023"/>
      <c r="W219" s="1023"/>
    </row>
    <row r="220" spans="1:26" ht="11.25" customHeight="1">
      <c r="A220" s="176"/>
      <c r="B220" s="385" t="s">
        <v>3595</v>
      </c>
      <c r="C220" s="428" t="s">
        <v>4317</v>
      </c>
      <c r="D220" s="33"/>
      <c r="E220" s="33"/>
      <c r="F220" s="561"/>
      <c r="G220" s="561"/>
      <c r="H220" s="561"/>
      <c r="I220" s="33"/>
      <c r="J220" s="2258"/>
      <c r="L220" s="1441" t="s">
        <v>4316</v>
      </c>
      <c r="N220" s="1442"/>
      <c r="O220" s="3763"/>
      <c r="P220" s="3764"/>
      <c r="V220" s="1023"/>
      <c r="W220" s="1023"/>
    </row>
    <row r="221" spans="1:26" ht="2.25" customHeight="1">
      <c r="A221" s="176"/>
      <c r="G221" s="389"/>
      <c r="L221" s="1086"/>
      <c r="V221" s="1023"/>
      <c r="W221" s="1023"/>
    </row>
    <row r="222" spans="1:26" ht="21.75" customHeight="1">
      <c r="A222" s="3716" t="s">
        <v>3825</v>
      </c>
      <c r="B222" s="3714" t="s">
        <v>3823</v>
      </c>
      <c r="C222" s="3715"/>
      <c r="D222" s="3603"/>
      <c r="E222" s="2902"/>
      <c r="F222" s="2902"/>
      <c r="G222" s="2902"/>
      <c r="H222" s="2902"/>
      <c r="I222" s="2902"/>
      <c r="J222" s="2902"/>
      <c r="K222" s="2902"/>
      <c r="L222" s="2902"/>
      <c r="M222" s="2902"/>
      <c r="N222" s="2902"/>
      <c r="O222" s="2902"/>
      <c r="P222" s="2903"/>
      <c r="Q222" s="440"/>
      <c r="V222" s="1023"/>
      <c r="W222" s="1023"/>
    </row>
    <row r="223" spans="1:26" ht="22.5" customHeight="1">
      <c r="A223" s="3717"/>
      <c r="B223" s="3759" t="s">
        <v>3824</v>
      </c>
      <c r="C223" s="3760"/>
      <c r="D223" s="2920"/>
      <c r="E223" s="2868"/>
      <c r="F223" s="2868"/>
      <c r="G223" s="2868"/>
      <c r="H223" s="2868"/>
      <c r="I223" s="2868"/>
      <c r="J223" s="2868"/>
      <c r="K223" s="2868"/>
      <c r="L223" s="2868"/>
      <c r="M223" s="2868"/>
      <c r="N223" s="2868"/>
      <c r="O223" s="2868"/>
      <c r="P223" s="2869"/>
      <c r="Q223" s="440"/>
      <c r="V223" s="1023"/>
      <c r="W223" s="1023"/>
    </row>
    <row r="224" spans="1:26" ht="22.5" customHeight="1">
      <c r="A224" s="3718"/>
      <c r="B224" s="3754" t="s">
        <v>4366</v>
      </c>
      <c r="C224" s="3755"/>
      <c r="D224" s="2958"/>
      <c r="E224" s="2924"/>
      <c r="F224" s="2924"/>
      <c r="G224" s="2924"/>
      <c r="H224" s="2924"/>
      <c r="I224" s="2924"/>
      <c r="J224" s="2924"/>
      <c r="K224" s="2924"/>
      <c r="L224" s="2924"/>
      <c r="M224" s="2924"/>
      <c r="N224" s="2924"/>
      <c r="O224" s="2924"/>
      <c r="P224" s="2925"/>
      <c r="Q224" s="440"/>
      <c r="V224" s="1023"/>
      <c r="W224" s="1023"/>
    </row>
    <row r="225" spans="1:23" ht="11.25" customHeight="1">
      <c r="B225" s="36" t="s">
        <v>3339</v>
      </c>
      <c r="G225" s="3997" t="s">
        <v>2560</v>
      </c>
      <c r="H225" s="3997"/>
      <c r="J225" s="3995"/>
      <c r="K225" s="3996"/>
      <c r="L225" s="3752"/>
      <c r="M225" s="3753"/>
      <c r="V225" s="1023"/>
      <c r="W225" s="1023"/>
    </row>
    <row r="226" spans="1:23" s="43" customFormat="1" ht="11.25" customHeight="1">
      <c r="C226" s="36" t="s">
        <v>3340</v>
      </c>
      <c r="D226" s="2381"/>
      <c r="G226" s="3683">
        <f>'Part IV-A-Uses of Funds'!$G$132</f>
        <v>11974075</v>
      </c>
      <c r="H226" s="3684"/>
      <c r="J226" s="3681">
        <f>IF($J225=0,0,$J225/$G$226)</f>
        <v>0</v>
      </c>
      <c r="K226" s="3682"/>
      <c r="L226" s="3681">
        <f>IF($L225=0,0,$L225/$G$226)</f>
        <v>0</v>
      </c>
      <c r="M226" s="3682"/>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4"/>
    </row>
    <row r="228" spans="1:23" s="43" customFormat="1" ht="33.75" customHeight="1" thickTop="1" thickBot="1">
      <c r="A228" s="3688" t="s">
        <v>4593</v>
      </c>
      <c r="B228" s="3689"/>
      <c r="C228" s="3689"/>
      <c r="D228" s="3689"/>
      <c r="E228" s="3689"/>
      <c r="F228" s="3689"/>
      <c r="G228" s="3689"/>
      <c r="H228" s="3689"/>
      <c r="I228" s="3689"/>
      <c r="J228" s="3689"/>
      <c r="K228" s="3689"/>
      <c r="L228" s="3689"/>
      <c r="M228" s="3689"/>
      <c r="N228" s="3689"/>
      <c r="O228" s="3689"/>
      <c r="P228" s="3690"/>
      <c r="Q228" s="1027" t="s">
        <v>1228</v>
      </c>
    </row>
    <row r="229" spans="1:23" s="102" customFormat="1" ht="11.4" customHeight="1" thickTop="1">
      <c r="A229" s="42"/>
      <c r="B229" s="97" t="s">
        <v>1820</v>
      </c>
      <c r="C229" s="42"/>
      <c r="D229" s="97"/>
      <c r="E229" s="2394"/>
      <c r="F229" s="2394"/>
      <c r="G229" s="2394"/>
      <c r="H229" s="2394"/>
      <c r="I229" s="2394"/>
      <c r="J229" s="2394"/>
      <c r="K229" s="2394"/>
      <c r="L229" s="2394"/>
      <c r="M229" s="2394"/>
      <c r="N229" s="93"/>
      <c r="O229" s="836"/>
      <c r="P229" s="2374"/>
      <c r="Q229" s="422"/>
    </row>
    <row r="230" spans="1:23" s="43" customFormat="1" ht="11.25" customHeight="1">
      <c r="A230" s="3609"/>
      <c r="B230" s="3610"/>
      <c r="C230" s="3610"/>
      <c r="D230" s="3610"/>
      <c r="E230" s="3610"/>
      <c r="F230" s="3610"/>
      <c r="G230" s="3610"/>
      <c r="H230" s="3610"/>
      <c r="I230" s="3610"/>
      <c r="J230" s="3610"/>
      <c r="K230" s="3610"/>
      <c r="L230" s="3610"/>
      <c r="M230" s="3610"/>
      <c r="N230" s="3610"/>
      <c r="O230" s="3610"/>
      <c r="P230" s="3611"/>
      <c r="Q230" s="440"/>
    </row>
    <row r="231" spans="1:23" s="43" customFormat="1" ht="3" customHeight="1" thickBot="1">
      <c r="A231" s="42"/>
      <c r="C231" s="2381"/>
      <c r="D231" s="2381"/>
      <c r="E231" s="2381"/>
      <c r="F231" s="2381"/>
      <c r="G231" s="2381"/>
      <c r="H231" s="2381"/>
      <c r="I231" s="2381"/>
      <c r="J231" s="2381"/>
      <c r="K231" s="2381"/>
      <c r="L231" s="2381"/>
      <c r="M231" s="2381"/>
      <c r="N231" s="74"/>
      <c r="O231" s="70"/>
      <c r="P231" s="846"/>
    </row>
    <row r="232" spans="1:23" s="43" customFormat="1" ht="13.5" customHeight="1" thickBot="1">
      <c r="A232" s="152" t="s">
        <v>287</v>
      </c>
      <c r="B232" s="106" t="s">
        <v>3738</v>
      </c>
      <c r="C232" s="2381"/>
      <c r="D232" s="2381"/>
      <c r="E232" s="2381"/>
      <c r="F232" s="2381"/>
      <c r="G232" s="2381"/>
      <c r="H232" s="2381"/>
      <c r="I232" s="2381"/>
      <c r="J232" s="2381"/>
      <c r="M232" s="846">
        <v>3</v>
      </c>
      <c r="N232" s="74"/>
      <c r="O232" s="70"/>
      <c r="P232" s="2650"/>
      <c r="Q232" s="109" t="s">
        <v>433</v>
      </c>
      <c r="R232" s="974" t="s">
        <v>2626</v>
      </c>
    </row>
    <row r="233" spans="1:23" s="43" customFormat="1" ht="13.5" customHeight="1">
      <c r="A233" s="152"/>
      <c r="B233" s="103" t="s">
        <v>4118</v>
      </c>
      <c r="C233" s="2381"/>
      <c r="D233" s="2381"/>
      <c r="E233" s="2381"/>
      <c r="F233" s="2381"/>
      <c r="G233" s="2381"/>
      <c r="H233" s="2381"/>
      <c r="I233" s="2381"/>
      <c r="J233" s="2381"/>
      <c r="K233" s="2379"/>
      <c r="L233" s="1444" t="str">
        <f>IF(OR(O$150&gt;0,O$265&gt;0),"Applicant is ineligible for points in this section!  Points claimed in VI or IX.","")</f>
        <v>Applicant is ineligible for points in this section!  Points claimed in VI or IX.</v>
      </c>
      <c r="M233" s="846"/>
      <c r="N233" s="74"/>
      <c r="O233" s="2259"/>
      <c r="P233" s="2660"/>
      <c r="Q233" s="109"/>
      <c r="R233" s="3677" t="s">
        <v>4766</v>
      </c>
      <c r="S233" s="3677"/>
      <c r="T233" s="3677"/>
      <c r="U233" s="3677"/>
    </row>
    <row r="234" spans="1:23" s="43" customFormat="1" ht="13.5" customHeight="1">
      <c r="A234" s="152"/>
      <c r="B234" s="113" t="s">
        <v>3739</v>
      </c>
      <c r="C234" s="2381"/>
      <c r="D234" s="2381"/>
      <c r="E234" s="2381"/>
      <c r="F234" s="2381"/>
      <c r="G234" s="2381"/>
      <c r="H234" s="2381"/>
      <c r="I234" s="2381"/>
      <c r="J234" s="2381"/>
      <c r="K234" s="2379" t="s">
        <v>3141</v>
      </c>
      <c r="L234" s="2379" t="s">
        <v>251</v>
      </c>
      <c r="M234" s="846"/>
      <c r="N234" s="74"/>
      <c r="O234" s="70"/>
      <c r="P234" s="70"/>
      <c r="Q234" s="109"/>
      <c r="R234" s="3677"/>
      <c r="S234" s="3677"/>
      <c r="T234" s="3677"/>
      <c r="U234" s="3677"/>
    </row>
    <row r="235" spans="1:23" s="43" customFormat="1" ht="11.25" customHeight="1">
      <c r="A235" s="138"/>
      <c r="C235" s="55" t="s">
        <v>4571</v>
      </c>
      <c r="K235" s="1108">
        <f>$O$193</f>
        <v>0</v>
      </c>
      <c r="L235" s="1109">
        <f>$P$193</f>
        <v>0</v>
      </c>
      <c r="N235" s="455" t="s">
        <v>2372</v>
      </c>
      <c r="O235" s="2256"/>
      <c r="P235" s="518"/>
      <c r="R235" s="3677"/>
      <c r="S235" s="3677"/>
      <c r="T235" s="3677"/>
      <c r="U235" s="3677"/>
    </row>
    <row r="236" spans="1:23" s="43" customFormat="1" ht="11.25" customHeight="1">
      <c r="A236" s="138"/>
      <c r="C236" s="55" t="s">
        <v>4756</v>
      </c>
      <c r="K236" s="1108">
        <f>$O$112</f>
        <v>4</v>
      </c>
      <c r="L236" s="1109">
        <f>$P$112</f>
        <v>0</v>
      </c>
      <c r="N236" s="455" t="s">
        <v>2373</v>
      </c>
      <c r="O236" s="2257"/>
      <c r="P236" s="519"/>
      <c r="R236" s="3677"/>
      <c r="S236" s="3677"/>
      <c r="T236" s="3677"/>
      <c r="U236" s="3677"/>
    </row>
    <row r="237" spans="1:23" s="43" customFormat="1" ht="11.25" customHeight="1">
      <c r="C237" s="55" t="s">
        <v>4572</v>
      </c>
      <c r="N237" s="455" t="s">
        <v>2374</v>
      </c>
      <c r="O237" s="2258"/>
      <c r="P237" s="519"/>
      <c r="R237" s="3677"/>
      <c r="S237" s="3677"/>
      <c r="T237" s="3677"/>
      <c r="U237" s="3677"/>
    </row>
    <row r="238" spans="1:23" s="43" customFormat="1" ht="11.25" customHeight="1">
      <c r="A238" s="138"/>
      <c r="C238" s="55" t="s">
        <v>4757</v>
      </c>
      <c r="K238" s="1433" t="str">
        <f>'Part I-Project Information'!F38</f>
        <v>Hartwell</v>
      </c>
      <c r="L238" s="2401"/>
      <c r="N238" s="455" t="s">
        <v>2375</v>
      </c>
      <c r="O238" s="455"/>
      <c r="P238" s="519"/>
      <c r="R238" s="3677"/>
      <c r="S238" s="3677"/>
      <c r="T238" s="3677"/>
      <c r="U238" s="3677"/>
    </row>
    <row r="239" spans="1:23" s="43" customFormat="1" ht="11.25" customHeight="1">
      <c r="A239" s="138"/>
      <c r="C239" s="55" t="s">
        <v>4758</v>
      </c>
      <c r="K239" s="1108">
        <f>$O$150</f>
        <v>2</v>
      </c>
      <c r="L239" s="1109">
        <f>$P$150</f>
        <v>0</v>
      </c>
      <c r="N239" s="455" t="s">
        <v>2376</v>
      </c>
      <c r="O239" s="2256"/>
      <c r="P239" s="519"/>
      <c r="R239" s="3677"/>
      <c r="S239" s="3677"/>
      <c r="T239" s="3677"/>
      <c r="U239" s="3677"/>
    </row>
    <row r="240" spans="1:23" s="43" customFormat="1" ht="11.25" customHeight="1">
      <c r="A240" s="138"/>
      <c r="C240" s="55" t="s">
        <v>4759</v>
      </c>
      <c r="K240" s="1108">
        <f>$O$265</f>
        <v>2</v>
      </c>
      <c r="L240" s="1109">
        <f>$P$265</f>
        <v>0</v>
      </c>
      <c r="N240" s="455" t="s">
        <v>2375</v>
      </c>
      <c r="O240" s="2258"/>
      <c r="P240" s="520"/>
      <c r="R240" s="3677"/>
      <c r="S240" s="3677"/>
      <c r="T240" s="3677"/>
      <c r="U240" s="3677"/>
    </row>
    <row r="241" spans="1:23" s="43" customFormat="1" ht="3" customHeight="1">
      <c r="A241" s="42"/>
      <c r="C241" s="2381"/>
      <c r="D241" s="2381"/>
      <c r="E241" s="2381"/>
      <c r="F241" s="2381"/>
      <c r="G241" s="2381"/>
      <c r="H241" s="2381"/>
      <c r="I241" s="2381"/>
      <c r="J241" s="2381"/>
      <c r="K241" s="2381"/>
      <c r="L241" s="2381"/>
      <c r="M241" s="2381"/>
      <c r="N241" s="74"/>
      <c r="O241" s="70"/>
      <c r="P241" s="846"/>
      <c r="R241" s="3677"/>
      <c r="S241" s="3677"/>
      <c r="T241" s="3677"/>
      <c r="U241" s="3677"/>
    </row>
    <row r="242" spans="1:23" ht="11.25" customHeight="1">
      <c r="A242" s="138" t="s">
        <v>1936</v>
      </c>
      <c r="B242" s="177" t="s">
        <v>3741</v>
      </c>
      <c r="D242" s="33"/>
      <c r="G242" s="465" t="s">
        <v>3593</v>
      </c>
      <c r="N242" s="27"/>
      <c r="O242" s="27"/>
      <c r="P242" s="27"/>
      <c r="Q242" s="983"/>
      <c r="R242" s="3677"/>
      <c r="S242" s="3677"/>
      <c r="T242" s="3677"/>
      <c r="U242" s="3677"/>
    </row>
    <row r="243" spans="1:23" s="33" customFormat="1" ht="11.25" customHeight="1">
      <c r="A243" s="498"/>
      <c r="C243" s="134" t="s">
        <v>3645</v>
      </c>
      <c r="E243" s="3701"/>
      <c r="F243" s="3702"/>
      <c r="G243" s="3702"/>
      <c r="H243" s="3702"/>
      <c r="I243" s="3703"/>
      <c r="J243" s="2386" t="s">
        <v>2625</v>
      </c>
      <c r="K243" s="3740"/>
      <c r="L243" s="3741"/>
      <c r="M243" s="3741"/>
      <c r="N243" s="3741"/>
      <c r="O243" s="3742"/>
      <c r="P243" s="548"/>
      <c r="Q243" s="983"/>
      <c r="R243" s="3677"/>
      <c r="S243" s="3677"/>
      <c r="T243" s="3677"/>
      <c r="U243" s="3677"/>
    </row>
    <row r="244" spans="1:23" s="33" customFormat="1" ht="11.25" customHeight="1">
      <c r="A244" s="498"/>
      <c r="C244" s="134" t="s">
        <v>2144</v>
      </c>
      <c r="E244" s="3678"/>
      <c r="F244" s="3679"/>
      <c r="G244" s="3680"/>
      <c r="H244" s="1716" t="s">
        <v>1679</v>
      </c>
      <c r="I244" s="2324"/>
      <c r="J244" s="428" t="s">
        <v>1755</v>
      </c>
      <c r="K244" s="3678"/>
      <c r="L244" s="3679"/>
      <c r="M244" s="3679"/>
      <c r="N244" s="3679"/>
      <c r="O244" s="3680"/>
      <c r="Q244" s="983"/>
      <c r="R244" s="3677"/>
      <c r="S244" s="3677"/>
      <c r="T244" s="3677"/>
      <c r="U244" s="3677"/>
      <c r="V244" s="1023"/>
      <c r="W244" s="1023"/>
    </row>
    <row r="245" spans="1:23" ht="3" customHeight="1">
      <c r="A245" s="498"/>
      <c r="C245" s="985"/>
      <c r="D245" s="985"/>
      <c r="E245" s="985"/>
      <c r="F245" s="985"/>
      <c r="G245" s="985"/>
      <c r="H245" s="985"/>
      <c r="I245" s="985"/>
      <c r="J245" s="985"/>
      <c r="K245" s="985"/>
      <c r="L245" s="985"/>
      <c r="N245" s="27"/>
      <c r="O245" s="27"/>
      <c r="P245" s="27"/>
      <c r="Q245" s="983"/>
      <c r="R245" s="3677"/>
      <c r="S245" s="3677"/>
      <c r="T245" s="3677"/>
      <c r="U245" s="3677"/>
    </row>
    <row r="246" spans="1:23" ht="10.5" customHeight="1">
      <c r="A246" s="498"/>
      <c r="B246" s="562" t="s">
        <v>1939</v>
      </c>
      <c r="C246" s="985" t="s">
        <v>3740</v>
      </c>
      <c r="D246" s="981"/>
      <c r="E246" s="981"/>
      <c r="F246" s="981"/>
      <c r="G246" s="981"/>
      <c r="H246" s="981"/>
      <c r="I246" s="981"/>
      <c r="J246" s="981"/>
      <c r="K246" s="981"/>
      <c r="L246" s="981"/>
      <c r="M246" s="981"/>
      <c r="N246" s="981"/>
      <c r="O246" s="506" t="s">
        <v>2444</v>
      </c>
      <c r="P246" s="506" t="s">
        <v>2444</v>
      </c>
      <c r="Q246" s="981"/>
      <c r="R246" s="3677"/>
      <c r="S246" s="3677"/>
      <c r="T246" s="3677"/>
      <c r="U246" s="3677"/>
    </row>
    <row r="247" spans="1:23" s="33" customFormat="1" ht="21.75" customHeight="1">
      <c r="A247" s="2391"/>
      <c r="B247" s="588"/>
      <c r="C247" s="3954" t="s">
        <v>4760</v>
      </c>
      <c r="D247" s="3954"/>
      <c r="E247" s="3954"/>
      <c r="F247" s="3954"/>
      <c r="G247" s="3954"/>
      <c r="H247" s="3954"/>
      <c r="I247" s="3954"/>
      <c r="J247" s="3954"/>
      <c r="K247" s="3954"/>
      <c r="L247" s="3954"/>
      <c r="M247" s="3954"/>
      <c r="N247" s="388" t="s">
        <v>1939</v>
      </c>
      <c r="O247" s="2271"/>
      <c r="P247" s="1089"/>
      <c r="Q247" s="981"/>
      <c r="V247" s="1023"/>
      <c r="W247" s="1023"/>
    </row>
    <row r="248" spans="1:23" ht="11.25" customHeight="1">
      <c r="A248" s="498"/>
      <c r="B248" s="562" t="s">
        <v>1941</v>
      </c>
      <c r="C248" s="985" t="s">
        <v>3742</v>
      </c>
      <c r="D248" s="981"/>
      <c r="E248" s="981"/>
      <c r="F248" s="981"/>
      <c r="G248" s="465" t="s">
        <v>3593</v>
      </c>
      <c r="H248" s="981"/>
      <c r="I248" s="981"/>
      <c r="J248" s="981"/>
      <c r="K248" s="981"/>
      <c r="L248" s="981"/>
      <c r="M248" s="981"/>
      <c r="N248" s="981"/>
      <c r="O248" s="506" t="s">
        <v>2444</v>
      </c>
      <c r="P248" s="506" t="s">
        <v>2444</v>
      </c>
      <c r="Q248" s="981"/>
    </row>
    <row r="249" spans="1:23" ht="21" customHeight="1">
      <c r="A249" s="498"/>
      <c r="B249" s="987"/>
      <c r="C249" s="3691" t="s">
        <v>4573</v>
      </c>
      <c r="D249" s="3691"/>
      <c r="E249" s="3691"/>
      <c r="F249" s="3691"/>
      <c r="G249" s="3691"/>
      <c r="H249" s="3691"/>
      <c r="I249" s="3691"/>
      <c r="J249" s="3691"/>
      <c r="K249" s="3691"/>
      <c r="L249" s="3691"/>
      <c r="M249" s="3691"/>
      <c r="N249" s="388" t="s">
        <v>1941</v>
      </c>
      <c r="O249" s="2271"/>
      <c r="P249" s="1089"/>
      <c r="Q249" s="984"/>
      <c r="V249" s="1023"/>
      <c r="W249" s="1023"/>
    </row>
    <row r="250" spans="1:23" ht="11.25" customHeight="1">
      <c r="A250" s="138"/>
      <c r="B250" s="847" t="s">
        <v>2468</v>
      </c>
      <c r="C250" s="559" t="s">
        <v>3596</v>
      </c>
      <c r="D250" s="33"/>
      <c r="N250" s="27"/>
      <c r="O250" s="27"/>
      <c r="P250" s="27"/>
      <c r="Q250" s="114"/>
    </row>
    <row r="251" spans="1:23" s="33" customFormat="1" ht="21.75" customHeight="1">
      <c r="A251" s="498"/>
      <c r="B251" s="988"/>
      <c r="C251" s="3869" t="s">
        <v>3744</v>
      </c>
      <c r="D251" s="3869"/>
      <c r="E251" s="3869"/>
      <c r="F251" s="3869"/>
      <c r="G251" s="3869"/>
      <c r="H251" s="3869"/>
      <c r="I251" s="3869"/>
      <c r="J251" s="3869"/>
      <c r="K251" s="3869"/>
      <c r="L251" s="3869"/>
      <c r="M251" s="3869"/>
      <c r="N251" s="388" t="s">
        <v>2468</v>
      </c>
      <c r="O251" s="2271"/>
      <c r="P251" s="1089"/>
      <c r="Q251" s="984"/>
      <c r="V251" s="1023"/>
      <c r="W251" s="1023"/>
    </row>
    <row r="252" spans="1:23" s="33" customFormat="1" ht="10.5" customHeight="1">
      <c r="A252" s="498"/>
      <c r="B252" s="988"/>
      <c r="C252" s="2397"/>
      <c r="D252" s="2397"/>
      <c r="E252" s="2397"/>
      <c r="F252" s="2397"/>
      <c r="G252" s="588" t="s">
        <v>4383</v>
      </c>
      <c r="H252" s="2397"/>
      <c r="J252" s="3984"/>
      <c r="K252" s="3985"/>
      <c r="L252" s="2397"/>
      <c r="M252" s="2397"/>
      <c r="N252" s="2397"/>
      <c r="O252" s="2397"/>
      <c r="P252" s="2397"/>
      <c r="Q252" s="984"/>
      <c r="V252" s="1023"/>
      <c r="W252" s="1023"/>
    </row>
    <row r="253" spans="1:23" s="390" customFormat="1" ht="21" customHeight="1">
      <c r="A253" s="1727"/>
      <c r="B253" s="986" t="s">
        <v>2372</v>
      </c>
      <c r="C253" s="3869" t="s">
        <v>3745</v>
      </c>
      <c r="D253" s="3869"/>
      <c r="E253" s="3869"/>
      <c r="F253" s="3869"/>
      <c r="G253" s="3869"/>
      <c r="H253" s="3869"/>
      <c r="I253" s="3869"/>
      <c r="J253" s="3869"/>
      <c r="K253" s="3869"/>
      <c r="L253" s="3869"/>
      <c r="M253" s="3869"/>
      <c r="N253" s="986" t="s">
        <v>2372</v>
      </c>
      <c r="O253" s="2268"/>
      <c r="P253" s="1088"/>
      <c r="Q253" s="1728"/>
      <c r="V253" s="1729"/>
      <c r="W253" s="1729"/>
    </row>
    <row r="254" spans="1:23" s="33" customFormat="1" ht="11.25" customHeight="1">
      <c r="A254" s="498"/>
      <c r="B254" s="385" t="s">
        <v>2373</v>
      </c>
      <c r="C254" s="3954" t="s">
        <v>4318</v>
      </c>
      <c r="D254" s="3954"/>
      <c r="E254" s="3954"/>
      <c r="F254" s="3954"/>
      <c r="G254" s="3954"/>
      <c r="H254" s="3954"/>
      <c r="I254" s="3954"/>
      <c r="J254" s="3954"/>
      <c r="K254" s="3954"/>
      <c r="L254" s="3954"/>
      <c r="M254" s="3954"/>
      <c r="N254" s="385" t="s">
        <v>2373</v>
      </c>
      <c r="O254" s="2258"/>
      <c r="P254" s="520"/>
      <c r="Q254" s="984"/>
      <c r="V254" s="1023"/>
      <c r="W254" s="1023"/>
    </row>
    <row r="255" spans="1:23" ht="11.25" customHeight="1">
      <c r="A255" s="138"/>
      <c r="B255" s="847" t="s">
        <v>1198</v>
      </c>
      <c r="C255" s="559" t="s">
        <v>4319</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3743</v>
      </c>
      <c r="D257" s="33"/>
      <c r="G257" s="465" t="s">
        <v>3593</v>
      </c>
      <c r="N257" s="27"/>
      <c r="O257" s="506" t="s">
        <v>2444</v>
      </c>
      <c r="P257" s="506" t="s">
        <v>2444</v>
      </c>
      <c r="Q257" s="983"/>
    </row>
    <row r="258" spans="1:24" ht="22.5" customHeight="1">
      <c r="B258" s="562" t="s">
        <v>1939</v>
      </c>
      <c r="C258" s="3949" t="s">
        <v>4574</v>
      </c>
      <c r="D258" s="3949"/>
      <c r="E258" s="3949"/>
      <c r="F258" s="3949"/>
      <c r="G258" s="3949"/>
      <c r="H258" s="3949"/>
      <c r="I258" s="3949"/>
      <c r="J258" s="3949"/>
      <c r="K258" s="3949"/>
      <c r="L258" s="3949"/>
      <c r="M258" s="1070" t="s">
        <v>1938</v>
      </c>
      <c r="N258" s="388" t="s">
        <v>1939</v>
      </c>
      <c r="O258" s="2268"/>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8"/>
    </row>
    <row r="261" spans="1:24" s="43" customFormat="1" ht="45.6" customHeight="1" thickTop="1" thickBot="1">
      <c r="A261" s="3992" t="s">
        <v>7071</v>
      </c>
      <c r="B261" s="3993"/>
      <c r="C261" s="3993"/>
      <c r="D261" s="3993"/>
      <c r="E261" s="3993"/>
      <c r="F261" s="3993"/>
      <c r="G261" s="3993"/>
      <c r="H261" s="3993"/>
      <c r="I261" s="3993"/>
      <c r="J261" s="3993"/>
      <c r="K261" s="3993"/>
      <c r="L261" s="3993"/>
      <c r="M261" s="3993"/>
      <c r="N261" s="3993"/>
      <c r="O261" s="3993"/>
      <c r="P261" s="3994"/>
      <c r="Q261" s="1027" t="s">
        <v>1228</v>
      </c>
    </row>
    <row r="262" spans="1:24" s="43" customFormat="1" ht="10.5" customHeight="1" thickTop="1">
      <c r="A262" s="42"/>
      <c r="B262" s="85" t="s">
        <v>1820</v>
      </c>
      <c r="C262" s="42"/>
      <c r="D262" s="85"/>
      <c r="E262" s="2381"/>
      <c r="F262" s="2381"/>
      <c r="G262" s="2381"/>
      <c r="H262" s="2381"/>
      <c r="I262" s="2381"/>
      <c r="J262" s="2381"/>
      <c r="K262" s="2381"/>
      <c r="L262" s="2381"/>
      <c r="M262" s="2381"/>
      <c r="N262" s="74"/>
      <c r="O262" s="70"/>
      <c r="P262" s="2374"/>
      <c r="Q262" s="422"/>
    </row>
    <row r="263" spans="1:24" s="43" customFormat="1" ht="22.2" customHeight="1">
      <c r="A263" s="3730"/>
      <c r="B263" s="3731"/>
      <c r="C263" s="3731"/>
      <c r="D263" s="3731"/>
      <c r="E263" s="3731"/>
      <c r="F263" s="3731"/>
      <c r="G263" s="3731"/>
      <c r="H263" s="3731"/>
      <c r="I263" s="3731"/>
      <c r="J263" s="3731"/>
      <c r="K263" s="3731"/>
      <c r="L263" s="3731"/>
      <c r="M263" s="3731"/>
      <c r="N263" s="3731"/>
      <c r="O263" s="3731"/>
      <c r="P263" s="3732"/>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74">
        <v>5</v>
      </c>
      <c r="N265" s="7"/>
      <c r="O265" s="1083">
        <f>O267+O276</f>
        <v>2</v>
      </c>
      <c r="P265" s="1083">
        <f>P267+P276</f>
        <v>0</v>
      </c>
      <c r="Q265" s="109" t="s">
        <v>433</v>
      </c>
      <c r="S265" s="3705" t="s">
        <v>4593</v>
      </c>
      <c r="T265" s="3706"/>
      <c r="U265" s="3707"/>
      <c r="V265" s="43"/>
      <c r="W265" s="43"/>
      <c r="X265" s="43"/>
    </row>
    <row r="266" spans="1:24" s="102" customFormat="1" ht="1.5" customHeight="1">
      <c r="A266" s="152"/>
      <c r="B266" s="106"/>
      <c r="C266" s="92"/>
      <c r="D266" s="59"/>
      <c r="E266" s="59"/>
      <c r="G266" s="172"/>
      <c r="M266" s="560"/>
      <c r="Q266" s="109"/>
      <c r="S266" s="3708"/>
      <c r="T266" s="3709"/>
      <c r="U266" s="3710"/>
      <c r="V266" s="43"/>
      <c r="W266" s="43"/>
      <c r="X266" s="43"/>
    </row>
    <row r="267" spans="1:24" s="102" customFormat="1" ht="11.25" customHeight="1">
      <c r="A267" s="3986" t="s">
        <v>1936</v>
      </c>
      <c r="B267" s="833" t="s">
        <v>4320</v>
      </c>
      <c r="C267" s="92"/>
      <c r="D267" s="59"/>
      <c r="E267" s="59"/>
      <c r="G267" s="465" t="s">
        <v>4730</v>
      </c>
      <c r="I267" s="1719" t="str">
        <f>'Part I-Project Information'!$O$38</f>
        <v>9605</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1</v>
      </c>
      <c r="P267" s="2661"/>
      <c r="Q267" s="109"/>
      <c r="S267" s="3708"/>
      <c r="T267" s="3709"/>
      <c r="U267" s="3710"/>
      <c r="V267" s="43"/>
      <c r="W267" s="43"/>
      <c r="X267" s="43"/>
    </row>
    <row r="268" spans="1:24" ht="11.4" customHeight="1">
      <c r="A268" s="3986"/>
      <c r="B268" s="110" t="s">
        <v>2703</v>
      </c>
      <c r="C268" s="502"/>
      <c r="D268" s="502"/>
      <c r="G268" s="503" t="str">
        <f>'Part I-Project Information'!$H$105</f>
        <v>Rural</v>
      </c>
      <c r="N268" s="1438" t="s">
        <v>1936</v>
      </c>
      <c r="O268" s="1112" t="s">
        <v>2444</v>
      </c>
      <c r="P268" s="1112" t="s">
        <v>2444</v>
      </c>
      <c r="S268" s="3708"/>
      <c r="T268" s="3709"/>
      <c r="U268" s="3710"/>
      <c r="V268" s="43"/>
      <c r="W268" s="43"/>
      <c r="X268" s="43"/>
    </row>
    <row r="269" spans="1:24" ht="11.4" customHeight="1">
      <c r="A269" s="3986"/>
      <c r="B269" s="847" t="s">
        <v>1939</v>
      </c>
      <c r="C269" s="433" t="s">
        <v>2609</v>
      </c>
      <c r="E269" s="116"/>
      <c r="M269" s="80"/>
      <c r="N269" s="174" t="s">
        <v>1939</v>
      </c>
      <c r="O269" s="2256" t="s">
        <v>2886</v>
      </c>
      <c r="P269" s="518"/>
      <c r="Q269" s="3692" t="str">
        <f>IF(AND(O269="Yes",O272="Yes"),"Only 1 or 4 can be 'Yes'!","")</f>
        <v/>
      </c>
      <c r="R269" s="3692"/>
      <c r="S269" s="3708"/>
      <c r="T269" s="3709"/>
      <c r="U269" s="3710"/>
    </row>
    <row r="270" spans="1:24" ht="11.4" customHeight="1">
      <c r="B270" s="847" t="s">
        <v>1941</v>
      </c>
      <c r="C270" s="433" t="s">
        <v>2654</v>
      </c>
      <c r="G270" s="100" t="s">
        <v>2327</v>
      </c>
      <c r="I270" s="2325">
        <v>0.2</v>
      </c>
      <c r="J270" s="433" t="s">
        <v>2655</v>
      </c>
      <c r="L270" s="134" t="s">
        <v>2653</v>
      </c>
      <c r="M270" s="848" t="str">
        <f>IF(O270&gt;I270,"CHECK ACTUAL PERCENT!!!","")</f>
        <v/>
      </c>
      <c r="N270" s="174" t="s">
        <v>1941</v>
      </c>
      <c r="O270" s="2326">
        <v>0.1845</v>
      </c>
      <c r="P270" s="2662"/>
      <c r="Q270" s="3692"/>
      <c r="R270" s="3692"/>
      <c r="S270" s="3708"/>
      <c r="T270" s="3709"/>
      <c r="U270" s="3710"/>
    </row>
    <row r="271" spans="1:24" ht="11.4" customHeight="1">
      <c r="B271" s="847" t="s">
        <v>2468</v>
      </c>
      <c r="C271" s="412" t="s">
        <v>2328</v>
      </c>
      <c r="E271" s="116"/>
      <c r="G271" s="100" t="s">
        <v>2329</v>
      </c>
      <c r="J271" s="3998" t="s">
        <v>4470</v>
      </c>
      <c r="L271" s="428" t="s">
        <v>2648</v>
      </c>
      <c r="M271" s="33"/>
      <c r="N271" s="174" t="s">
        <v>2468</v>
      </c>
      <c r="O271" s="2327" t="s">
        <v>7072</v>
      </c>
      <c r="P271" s="2663" t="s">
        <v>197</v>
      </c>
      <c r="Q271" s="3692"/>
      <c r="R271" s="3692"/>
      <c r="S271" s="3708"/>
      <c r="T271" s="3709"/>
      <c r="U271" s="3710"/>
    </row>
    <row r="272" spans="1:24" s="390" customFormat="1" ht="11.4" customHeight="1">
      <c r="B272" s="562" t="s">
        <v>1198</v>
      </c>
      <c r="C272" s="3691" t="s">
        <v>4576</v>
      </c>
      <c r="D272" s="3691"/>
      <c r="E272" s="3691"/>
      <c r="F272" s="3691"/>
      <c r="G272" s="3691"/>
      <c r="H272" s="3691"/>
      <c r="I272" s="3691"/>
      <c r="J272" s="3999"/>
      <c r="K272" s="3998" t="s">
        <v>3746</v>
      </c>
      <c r="M272" s="1074">
        <v>2</v>
      </c>
      <c r="N272" s="174" t="s">
        <v>1198</v>
      </c>
      <c r="O272" s="2388" t="s">
        <v>7062</v>
      </c>
      <c r="P272" s="2251"/>
      <c r="Q272" s="3692"/>
      <c r="R272" s="3692"/>
      <c r="S272" s="3708"/>
      <c r="T272" s="3709"/>
      <c r="U272" s="3710"/>
    </row>
    <row r="273" spans="1:21" ht="11.4" customHeight="1">
      <c r="B273" s="372"/>
      <c r="C273" s="3691"/>
      <c r="D273" s="3691"/>
      <c r="E273" s="3691"/>
      <c r="F273" s="3691"/>
      <c r="G273" s="3691"/>
      <c r="H273" s="3691"/>
      <c r="I273" s="3691"/>
      <c r="J273" s="4000"/>
      <c r="K273" s="4000"/>
      <c r="L273" s="3936" t="s">
        <v>3782</v>
      </c>
      <c r="M273" s="3937"/>
      <c r="N273" s="116"/>
      <c r="S273" s="3708"/>
      <c r="T273" s="3709"/>
      <c r="U273" s="3710"/>
    </row>
    <row r="274" spans="1:21" ht="23.25" customHeight="1">
      <c r="B274" s="372"/>
      <c r="C274" s="3691"/>
      <c r="D274" s="3691"/>
      <c r="E274" s="3691"/>
      <c r="F274" s="3691"/>
      <c r="G274" s="3691"/>
      <c r="H274" s="3691"/>
      <c r="I274" s="3691"/>
      <c r="J274" s="2328"/>
      <c r="K274" s="2329"/>
      <c r="L274" s="1071">
        <f>O64</f>
        <v>10</v>
      </c>
      <c r="M274" s="1072">
        <f>P64</f>
        <v>0</v>
      </c>
      <c r="N274" s="27"/>
      <c r="S274" s="3711"/>
      <c r="T274" s="3712"/>
      <c r="U274" s="3713"/>
    </row>
    <row r="275" spans="1:21" ht="2.25" customHeight="1">
      <c r="A275" s="505"/>
      <c r="B275" s="847"/>
      <c r="C275" s="412"/>
      <c r="E275" s="116"/>
      <c r="M275" s="1073"/>
      <c r="N275" s="1069"/>
      <c r="O275" s="846"/>
      <c r="P275" s="846"/>
      <c r="S275" s="1808"/>
      <c r="T275" s="1809"/>
      <c r="U275" s="1810"/>
    </row>
    <row r="276" spans="1:21" ht="11.4" customHeight="1">
      <c r="A276" s="1614" t="s">
        <v>1938</v>
      </c>
      <c r="B276" s="847" t="s">
        <v>4321</v>
      </c>
      <c r="C276" s="412"/>
      <c r="E276" s="116"/>
      <c r="G276" s="465" t="s">
        <v>6800</v>
      </c>
      <c r="I276" s="2330">
        <v>2020</v>
      </c>
      <c r="K276" s="1438" t="s">
        <v>4611</v>
      </c>
      <c r="L276" s="2331">
        <v>13147960500</v>
      </c>
      <c r="M276" s="1073">
        <v>2</v>
      </c>
      <c r="N276" s="1075" t="s">
        <v>1938</v>
      </c>
      <c r="O276" s="2291">
        <v>1</v>
      </c>
      <c r="P276" s="2659"/>
      <c r="Q276" s="978" t="str">
        <f>IF(O276&lt;=M276,"","*CHECK!*")</f>
        <v/>
      </c>
      <c r="R276" s="974" t="s">
        <v>4767</v>
      </c>
      <c r="S276" s="1811"/>
      <c r="T276" s="1807"/>
      <c r="U276" s="1812"/>
    </row>
    <row r="277" spans="1:21" ht="11.4" customHeight="1">
      <c r="A277" s="505"/>
      <c r="B277" s="847" t="s">
        <v>1939</v>
      </c>
      <c r="C277" s="134" t="s">
        <v>4466</v>
      </c>
      <c r="D277" s="134"/>
      <c r="E277" s="1717"/>
      <c r="F277" s="1720"/>
      <c r="G277" s="134" t="s">
        <v>4322</v>
      </c>
      <c r="H277" s="930"/>
      <c r="I277" s="930"/>
      <c r="J277" s="33"/>
      <c r="K277" s="33"/>
      <c r="L277" s="170" t="s">
        <v>6801</v>
      </c>
      <c r="M277" s="72"/>
      <c r="N277" s="174" t="s">
        <v>1939</v>
      </c>
      <c r="O277" s="2268" t="s">
        <v>2886</v>
      </c>
      <c r="P277" s="1088"/>
      <c r="Q277" s="978"/>
      <c r="R277" s="974"/>
      <c r="S277" s="1807"/>
      <c r="T277" s="1807"/>
      <c r="U277" s="1807"/>
    </row>
    <row r="278" spans="1:21" ht="11.4" customHeight="1">
      <c r="A278" s="505"/>
      <c r="B278" s="847" t="s">
        <v>1941</v>
      </c>
      <c r="C278" s="134" t="s">
        <v>4467</v>
      </c>
      <c r="D278" s="134"/>
      <c r="E278" s="1717"/>
      <c r="F278" s="1718"/>
      <c r="G278" s="134" t="s">
        <v>4323</v>
      </c>
      <c r="H278" s="930"/>
      <c r="I278" s="930"/>
      <c r="J278" s="33"/>
      <c r="K278" s="33"/>
      <c r="L278" s="170" t="s">
        <v>6801</v>
      </c>
      <c r="M278" s="80"/>
      <c r="N278" s="174" t="s">
        <v>1941</v>
      </c>
      <c r="O278" s="2258" t="s">
        <v>2889</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8"/>
    </row>
    <row r="281" spans="1:21" s="43" customFormat="1" ht="34.950000000000003" customHeight="1" thickTop="1" thickBot="1">
      <c r="A281" s="3688" t="s">
        <v>7102</v>
      </c>
      <c r="B281" s="3689"/>
      <c r="C281" s="3689"/>
      <c r="D281" s="3689"/>
      <c r="E281" s="3689"/>
      <c r="F281" s="3689"/>
      <c r="G281" s="3689"/>
      <c r="H281" s="3689"/>
      <c r="I281" s="3689"/>
      <c r="J281" s="3689"/>
      <c r="K281" s="3689"/>
      <c r="L281" s="3689"/>
      <c r="M281" s="3689"/>
      <c r="N281" s="3689"/>
      <c r="O281" s="3689"/>
      <c r="P281" s="3690"/>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81"/>
      <c r="F283" s="2381"/>
      <c r="G283" s="2381"/>
      <c r="H283" s="2381"/>
      <c r="I283" s="2381"/>
      <c r="J283" s="2381"/>
      <c r="K283" s="2381"/>
      <c r="L283" s="2381"/>
      <c r="M283" s="2381"/>
      <c r="N283" s="74"/>
      <c r="O283" s="70"/>
      <c r="P283" s="2374"/>
      <c r="Q283" s="422"/>
    </row>
    <row r="284" spans="1:21" s="43" customFormat="1" ht="11.25" customHeight="1">
      <c r="A284" s="3730"/>
      <c r="B284" s="3731"/>
      <c r="C284" s="3731"/>
      <c r="D284" s="3731"/>
      <c r="E284" s="3731"/>
      <c r="F284" s="3731"/>
      <c r="G284" s="3731"/>
      <c r="H284" s="3731"/>
      <c r="I284" s="3731"/>
      <c r="J284" s="3731"/>
      <c r="K284" s="3731"/>
      <c r="L284" s="3731"/>
      <c r="M284" s="3731"/>
      <c r="N284" s="3731"/>
      <c r="O284" s="3731"/>
      <c r="P284" s="3732"/>
      <c r="Q284" s="440"/>
    </row>
    <row r="285" spans="1:21" s="43" customFormat="1" ht="10.199999999999999" customHeight="1" thickBot="1">
      <c r="A285" s="42"/>
      <c r="D285" s="39"/>
      <c r="E285" s="36"/>
      <c r="F285" s="846"/>
      <c r="G285" s="846"/>
      <c r="H285" s="846"/>
      <c r="I285" s="846"/>
      <c r="J285" s="856"/>
      <c r="K285" s="856"/>
      <c r="L285" s="856"/>
      <c r="M285" s="60"/>
      <c r="N285" s="846"/>
      <c r="O285" s="2378"/>
      <c r="P285" s="3"/>
    </row>
    <row r="286" spans="1:21" ht="13.8" thickBot="1">
      <c r="A286" s="152" t="s">
        <v>356</v>
      </c>
      <c r="B286" s="1613" t="s">
        <v>4717</v>
      </c>
      <c r="C286" s="412"/>
      <c r="E286" s="116"/>
      <c r="G286" s="1616" t="s">
        <v>3606</v>
      </c>
      <c r="H286" s="2391" t="s">
        <v>3453</v>
      </c>
      <c r="I286" s="1446">
        <f>IF('Part VI-Revenues &amp; Expenses'!$P$67=0,0,'Part VI-Revenues &amp; Expenses'!$P$64/'Part VI-Revenues &amp; Expenses'!$P$67)</f>
        <v>0</v>
      </c>
      <c r="J286" s="1438" t="s">
        <v>4605</v>
      </c>
      <c r="K286" s="3728" t="str">
        <f>'Part I-Project Information'!$K$94</f>
        <v>Income Averaging</v>
      </c>
      <c r="L286" s="3729"/>
      <c r="M286" s="150">
        <v>1</v>
      </c>
      <c r="N286" s="1069"/>
      <c r="O286" s="1041">
        <f>MIN($M$286,SUM(O287:O288))</f>
        <v>1</v>
      </c>
      <c r="P286" s="1041">
        <f>MIN($M$286,SUM(P287:P288))</f>
        <v>0</v>
      </c>
      <c r="Q286" s="109" t="s">
        <v>433</v>
      </c>
    </row>
    <row r="287" spans="1:21" ht="13.8">
      <c r="A287" s="2375" t="s">
        <v>1936</v>
      </c>
      <c r="B287" s="1615" t="s">
        <v>4603</v>
      </c>
      <c r="C287" s="412"/>
      <c r="D287" s="427" t="s">
        <v>4604</v>
      </c>
      <c r="M287" s="72">
        <v>1</v>
      </c>
      <c r="N287" s="455" t="s">
        <v>1936</v>
      </c>
      <c r="O287" s="2332"/>
      <c r="P287" s="2664"/>
      <c r="Q287" s="978" t="str">
        <f>IF(OR($O287=$M287,$O287=0,$O287=""),"","*CHECK!*")</f>
        <v/>
      </c>
      <c r="R287" s="974" t="s">
        <v>4767</v>
      </c>
    </row>
    <row r="288" spans="1:21" ht="13.8">
      <c r="A288" s="2375" t="s">
        <v>1938</v>
      </c>
      <c r="B288" s="1615" t="s">
        <v>4294</v>
      </c>
      <c r="C288" s="412"/>
      <c r="D288" s="427" t="s">
        <v>4723</v>
      </c>
      <c r="M288" s="80">
        <v>1</v>
      </c>
      <c r="N288" s="455" t="s">
        <v>1938</v>
      </c>
      <c r="O288" s="2287">
        <v>1</v>
      </c>
      <c r="P288" s="2644"/>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81"/>
      <c r="F290" s="2381"/>
      <c r="G290" s="2381"/>
      <c r="H290" s="2381"/>
      <c r="I290" s="2381"/>
      <c r="J290" s="2381"/>
      <c r="K290" s="2381"/>
      <c r="L290" s="2381"/>
      <c r="M290" s="2381"/>
      <c r="N290" s="74"/>
      <c r="O290" s="70"/>
      <c r="P290" s="2374"/>
      <c r="Q290" s="422"/>
    </row>
    <row r="291" spans="1:27" s="43" customFormat="1" ht="11.25" customHeight="1">
      <c r="A291" s="3730"/>
      <c r="B291" s="3731"/>
      <c r="C291" s="3731"/>
      <c r="D291" s="3731"/>
      <c r="E291" s="3731"/>
      <c r="F291" s="3731"/>
      <c r="G291" s="3731"/>
      <c r="H291" s="3731"/>
      <c r="I291" s="3731"/>
      <c r="J291" s="3731"/>
      <c r="K291" s="3731"/>
      <c r="L291" s="3731"/>
      <c r="M291" s="3731"/>
      <c r="N291" s="3731"/>
      <c r="O291" s="3731"/>
      <c r="P291" s="3732"/>
      <c r="Q291" s="440"/>
    </row>
    <row r="292" spans="1:27" s="43" customFormat="1" ht="10.199999999999999" customHeight="1" thickBot="1">
      <c r="A292" s="42"/>
      <c r="D292" s="39"/>
      <c r="E292" s="36"/>
      <c r="F292" s="846"/>
      <c r="G292" s="846"/>
      <c r="H292" s="846"/>
      <c r="I292" s="846"/>
      <c r="J292" s="856"/>
      <c r="K292" s="856"/>
      <c r="L292" s="856"/>
      <c r="M292" s="60"/>
      <c r="N292" s="846"/>
      <c r="O292" s="2378"/>
      <c r="P292" s="3"/>
    </row>
    <row r="293" spans="1:27" s="102" customFormat="1" ht="12.6" customHeight="1" thickBot="1">
      <c r="A293" s="152" t="s">
        <v>357</v>
      </c>
      <c r="B293" s="106" t="s">
        <v>3747</v>
      </c>
      <c r="C293" s="92"/>
      <c r="D293" s="59"/>
      <c r="E293" s="59"/>
      <c r="H293" s="172"/>
      <c r="I293" s="1616" t="s">
        <v>3606</v>
      </c>
      <c r="M293" s="2374">
        <v>10</v>
      </c>
      <c r="N293" s="7"/>
      <c r="O293" s="1041">
        <f>IF(OR(O193&gt;0,O265&gt;0),0,IF(OR(O294="Yes",O295="Yes"),$M$293,0))</f>
        <v>0</v>
      </c>
      <c r="P293" s="1041">
        <f>IF(OR(P193&gt;0,P265&gt;0),0,IF(OR(P294="Yes",P295="Yes"),$M$293,0))</f>
        <v>0</v>
      </c>
      <c r="Q293" s="109" t="s">
        <v>433</v>
      </c>
      <c r="R293" s="3676" t="s">
        <v>4765</v>
      </c>
      <c r="S293" s="3676"/>
      <c r="T293" s="3676"/>
      <c r="U293" s="3676"/>
      <c r="V293" s="3676"/>
    </row>
    <row r="294" spans="1:27" ht="11.25" customHeight="1">
      <c r="A294" s="2375" t="s">
        <v>1936</v>
      </c>
      <c r="B294" s="1076" t="s">
        <v>3599</v>
      </c>
      <c r="D294" s="588"/>
      <c r="E294" s="588"/>
      <c r="F294" s="588"/>
      <c r="G294" s="588"/>
      <c r="H294" s="588"/>
      <c r="I294" s="588"/>
      <c r="J294" s="588"/>
      <c r="K294" s="588"/>
      <c r="L294" s="989"/>
      <c r="M294" s="4001" t="str">
        <f>IF(OR(SUM(T294:T295)&gt;1,SUM(Q294:Q295)&gt;1),"Only one category can be met by other means!","")</f>
        <v/>
      </c>
      <c r="N294" s="455" t="s">
        <v>1936</v>
      </c>
      <c r="O294" s="2256"/>
      <c r="P294" s="518"/>
      <c r="Q294" s="999">
        <f>IF(L294="Yes",1,0)</f>
        <v>0</v>
      </c>
      <c r="R294" s="3676"/>
      <c r="S294" s="3676"/>
      <c r="T294" s="3676"/>
      <c r="U294" s="3676"/>
      <c r="V294" s="3676"/>
    </row>
    <row r="295" spans="1:27" ht="11.25" customHeight="1">
      <c r="A295" s="2375" t="s">
        <v>1938</v>
      </c>
      <c r="B295" s="1076" t="s">
        <v>3600</v>
      </c>
      <c r="D295" s="588"/>
      <c r="L295" s="989"/>
      <c r="M295" s="4001"/>
      <c r="N295" s="455" t="s">
        <v>1938</v>
      </c>
      <c r="O295" s="2258"/>
      <c r="P295" s="520"/>
      <c r="Q295" s="999">
        <f>IF(L295="Yes",1,0)</f>
        <v>0</v>
      </c>
      <c r="R295" s="3676"/>
      <c r="S295" s="3676"/>
      <c r="T295" s="3676"/>
      <c r="U295" s="3676"/>
      <c r="V295" s="3676"/>
    </row>
    <row r="296" spans="1:27" s="43" customFormat="1" ht="10.5" customHeight="1" thickBot="1">
      <c r="A296" s="42"/>
      <c r="B296" s="1132" t="s">
        <v>3567</v>
      </c>
      <c r="C296" s="42"/>
      <c r="D296" s="48"/>
      <c r="E296" s="48"/>
      <c r="F296" s="48"/>
      <c r="G296" s="48"/>
      <c r="H296" s="36"/>
      <c r="I296" s="36"/>
      <c r="J296" s="36"/>
      <c r="K296" s="36"/>
      <c r="M296" s="46"/>
      <c r="N296" s="62"/>
      <c r="O296" s="3"/>
      <c r="P296" s="2378"/>
      <c r="R296" s="3676"/>
      <c r="S296" s="3676"/>
      <c r="T296" s="3676"/>
      <c r="U296" s="3676"/>
      <c r="V296" s="3676"/>
    </row>
    <row r="297" spans="1:27" s="43" customFormat="1" ht="34.950000000000003" customHeight="1" thickTop="1" thickBot="1">
      <c r="A297" s="3688" t="s">
        <v>7131</v>
      </c>
      <c r="B297" s="3689"/>
      <c r="C297" s="3689"/>
      <c r="D297" s="3689"/>
      <c r="E297" s="3689"/>
      <c r="F297" s="3689"/>
      <c r="G297" s="3689"/>
      <c r="H297" s="3689"/>
      <c r="I297" s="3689"/>
      <c r="J297" s="3689"/>
      <c r="K297" s="3689"/>
      <c r="L297" s="3689"/>
      <c r="M297" s="3689"/>
      <c r="N297" s="3689"/>
      <c r="O297" s="3689"/>
      <c r="P297" s="3690"/>
      <c r="Q297" s="1027" t="s">
        <v>1228</v>
      </c>
    </row>
    <row r="298" spans="1:27" s="43" customFormat="1" ht="10.5" customHeight="1" thickTop="1">
      <c r="A298" s="42"/>
      <c r="B298" s="85" t="s">
        <v>1820</v>
      </c>
      <c r="C298" s="42"/>
      <c r="D298" s="85"/>
      <c r="E298" s="2381"/>
      <c r="F298" s="2381"/>
      <c r="G298" s="2381"/>
      <c r="H298" s="2381"/>
      <c r="I298" s="2381"/>
      <c r="J298" s="2381"/>
      <c r="K298" s="2381"/>
      <c r="L298" s="2381"/>
      <c r="M298" s="2381"/>
      <c r="N298" s="74"/>
      <c r="O298" s="70"/>
      <c r="P298" s="2374"/>
      <c r="Q298" s="422"/>
    </row>
    <row r="299" spans="1:27" s="43" customFormat="1" ht="11.25" customHeight="1">
      <c r="A299" s="3730"/>
      <c r="B299" s="3731"/>
      <c r="C299" s="3731"/>
      <c r="D299" s="3731"/>
      <c r="E299" s="3731"/>
      <c r="F299" s="3731"/>
      <c r="G299" s="3731"/>
      <c r="H299" s="3731"/>
      <c r="I299" s="3731"/>
      <c r="J299" s="3731"/>
      <c r="K299" s="3731"/>
      <c r="L299" s="3731"/>
      <c r="M299" s="3731"/>
      <c r="N299" s="3731"/>
      <c r="O299" s="3731"/>
      <c r="P299" s="3732"/>
      <c r="Q299" s="440"/>
    </row>
    <row r="300" spans="1:27" s="43" customFormat="1" ht="15" thickBot="1">
      <c r="A300" s="42"/>
      <c r="D300" s="39"/>
      <c r="E300" s="36"/>
      <c r="F300" s="846"/>
      <c r="G300" s="846"/>
      <c r="H300" s="846"/>
      <c r="I300" s="846"/>
      <c r="J300" s="856"/>
      <c r="K300" s="856"/>
      <c r="L300" s="856"/>
      <c r="M300" s="60"/>
      <c r="N300" s="846"/>
      <c r="O300" s="2378"/>
      <c r="P300" s="3"/>
    </row>
    <row r="301" spans="1:27" s="43" customFormat="1" ht="12" customHeight="1" thickBot="1">
      <c r="A301" s="152" t="s">
        <v>358</v>
      </c>
      <c r="B301" s="105" t="s">
        <v>4719</v>
      </c>
      <c r="D301" s="41"/>
      <c r="E301" s="41"/>
      <c r="F301" s="41"/>
      <c r="H301" s="61"/>
      <c r="J301" s="86" t="s">
        <v>2703</v>
      </c>
      <c r="K301" s="48"/>
      <c r="L301" s="587" t="str">
        <f>'Part I-Project Information'!$H$105</f>
        <v>Rural</v>
      </c>
      <c r="M301" s="2374">
        <v>3</v>
      </c>
      <c r="N301" s="6"/>
      <c r="O301" s="1081">
        <f>IF(AND($L$301="Flexible", $J$302="Yes- w/Master Plan",O303="Yes",O306="Yes",O307="No",O308="Yes",O309="Yes",O310="Yes"),$M301,0)</f>
        <v>0</v>
      </c>
      <c r="P301" s="1081">
        <f>IF(AND($L$301="Flexible", $J$302="Yes- w/Master Plan",P303="Yes",P306="Yes",P307="No",P308="Yes",P309="Yes",P310="Yes"),$M301,0)</f>
        <v>0</v>
      </c>
      <c r="Q301" s="109" t="s">
        <v>433</v>
      </c>
      <c r="R301" s="3704" t="s">
        <v>4577</v>
      </c>
      <c r="S301" s="3704"/>
      <c r="T301" s="3704"/>
      <c r="U301" s="3704"/>
      <c r="V301" s="3704"/>
      <c r="W301" s="1739"/>
      <c r="X301" s="1739"/>
    </row>
    <row r="302" spans="1:27" ht="11.25" customHeight="1">
      <c r="A302" s="2375"/>
      <c r="B302" s="1618" t="s">
        <v>4621</v>
      </c>
      <c r="D302" s="33"/>
      <c r="E302" s="33"/>
      <c r="F302" s="33"/>
      <c r="H302" s="86" t="s">
        <v>3508</v>
      </c>
      <c r="I302" s="427"/>
      <c r="J302" s="3987" t="str">
        <f>'Part I-Project Information'!$O$34</f>
        <v>No</v>
      </c>
      <c r="K302" s="3987"/>
      <c r="L302" s="887">
        <f>'Part I-Project Information'!$O$35</f>
        <v>0</v>
      </c>
      <c r="M302" s="72"/>
      <c r="N302" s="72"/>
      <c r="O302" s="72"/>
      <c r="P302" s="72"/>
      <c r="Q302" s="978" t="str">
        <f>IF(OR($O302=$M302,$O302=0,$O302=""),"","*CHECK!*")</f>
        <v/>
      </c>
      <c r="R302" s="3704"/>
      <c r="S302" s="3704"/>
      <c r="T302" s="3704"/>
      <c r="U302" s="3704"/>
      <c r="V302" s="3704"/>
    </row>
    <row r="303" spans="1:27" s="100" customFormat="1" ht="22.5" customHeight="1">
      <c r="A303" s="435" t="s">
        <v>1936</v>
      </c>
      <c r="B303" s="3869" t="s">
        <v>4620</v>
      </c>
      <c r="C303" s="3869"/>
      <c r="D303" s="3869"/>
      <c r="E303" s="3869"/>
      <c r="F303" s="3869"/>
      <c r="G303" s="3869"/>
      <c r="H303" s="3869"/>
      <c r="I303" s="3869"/>
      <c r="J303" s="3869"/>
      <c r="K303" s="3869"/>
      <c r="L303" s="3869"/>
      <c r="M303" s="3869"/>
      <c r="N303" s="160" t="s">
        <v>1936</v>
      </c>
      <c r="O303" s="2271"/>
      <c r="P303" s="1089"/>
      <c r="Q303" s="3991" t="s">
        <v>4622</v>
      </c>
      <c r="R303" s="3691"/>
      <c r="S303" s="3691"/>
      <c r="T303" s="3691"/>
      <c r="U303" s="982"/>
      <c r="V303" s="982"/>
      <c r="W303" s="982"/>
      <c r="X303" s="982"/>
      <c r="Y303" s="982"/>
      <c r="Z303" s="982"/>
      <c r="AA303" s="982"/>
    </row>
    <row r="304" spans="1:27" s="117" customFormat="1" ht="11.25" customHeight="1">
      <c r="A304" s="372"/>
      <c r="B304" s="134" t="s">
        <v>3612</v>
      </c>
      <c r="I304" s="385" t="s">
        <v>4327</v>
      </c>
      <c r="J304" s="2333"/>
      <c r="K304" s="385" t="s">
        <v>599</v>
      </c>
      <c r="L304" s="3988"/>
      <c r="M304" s="3989"/>
      <c r="N304" s="3989"/>
      <c r="O304" s="3989"/>
      <c r="P304" s="3990"/>
      <c r="Q304" s="3991"/>
      <c r="R304" s="3691"/>
      <c r="S304" s="3691"/>
      <c r="T304" s="3691"/>
    </row>
    <row r="305" spans="1:24" s="117" customFormat="1" ht="11.25" customHeight="1">
      <c r="A305" s="372"/>
      <c r="B305" s="134" t="s">
        <v>3643</v>
      </c>
      <c r="I305" s="385" t="s">
        <v>4327</v>
      </c>
      <c r="J305" s="2334"/>
      <c r="K305" s="385" t="s">
        <v>599</v>
      </c>
      <c r="L305" s="3866"/>
      <c r="M305" s="3867"/>
      <c r="N305" s="3867"/>
      <c r="O305" s="3867"/>
      <c r="P305" s="3868"/>
      <c r="Q305" s="3991"/>
      <c r="R305" s="3691"/>
      <c r="S305" s="3691"/>
      <c r="T305" s="3691"/>
    </row>
    <row r="306" spans="1:24" s="117" customFormat="1" ht="11.25" customHeight="1">
      <c r="A306" s="372" t="s">
        <v>1938</v>
      </c>
      <c r="B306" s="117" t="s">
        <v>941</v>
      </c>
      <c r="M306" s="7"/>
      <c r="N306" s="455" t="s">
        <v>1938</v>
      </c>
      <c r="O306" s="2266"/>
      <c r="P306" s="898"/>
      <c r="Q306" s="3991"/>
      <c r="R306" s="3691"/>
      <c r="S306" s="3691"/>
      <c r="T306" s="3691"/>
    </row>
    <row r="307" spans="1:24" s="117" customFormat="1" ht="11.25" customHeight="1">
      <c r="A307" s="372" t="s">
        <v>731</v>
      </c>
      <c r="B307" s="117" t="s">
        <v>942</v>
      </c>
      <c r="M307" s="7"/>
      <c r="N307" s="455" t="s">
        <v>731</v>
      </c>
      <c r="O307" s="2257"/>
      <c r="P307" s="519"/>
      <c r="Q307" s="3991"/>
      <c r="R307" s="3691"/>
      <c r="S307" s="3691"/>
      <c r="T307" s="3691"/>
    </row>
    <row r="308" spans="1:24" s="117" customFormat="1" ht="22.5" customHeight="1">
      <c r="A308" s="435" t="s">
        <v>2065</v>
      </c>
      <c r="B308" s="3869" t="s">
        <v>4623</v>
      </c>
      <c r="C308" s="3869"/>
      <c r="D308" s="3869"/>
      <c r="E308" s="3869"/>
      <c r="F308" s="3869"/>
      <c r="G308" s="3869"/>
      <c r="H308" s="3869"/>
      <c r="I308" s="3869"/>
      <c r="J308" s="3869"/>
      <c r="K308" s="3869"/>
      <c r="L308" s="3869"/>
      <c r="M308" s="3869"/>
      <c r="N308" s="160" t="s">
        <v>2065</v>
      </c>
      <c r="O308" s="2387"/>
      <c r="P308" s="2395"/>
      <c r="Q308" s="3991"/>
      <c r="R308" s="3691"/>
      <c r="S308" s="3691"/>
      <c r="T308" s="3691"/>
    </row>
    <row r="309" spans="1:24" s="117" customFormat="1" ht="11.25" customHeight="1">
      <c r="A309" s="372" t="s">
        <v>1692</v>
      </c>
      <c r="B309" s="134" t="s">
        <v>4328</v>
      </c>
      <c r="M309" s="7"/>
      <c r="N309" s="455" t="s">
        <v>1692</v>
      </c>
      <c r="O309" s="2258"/>
      <c r="P309" s="520"/>
      <c r="Q309" s="3991"/>
      <c r="R309" s="3691"/>
      <c r="S309" s="3691"/>
      <c r="T309" s="3691"/>
    </row>
    <row r="310" spans="1:24" s="117" customFormat="1" ht="11.25" customHeight="1">
      <c r="A310" s="372" t="s">
        <v>1693</v>
      </c>
      <c r="B310" s="117" t="s">
        <v>943</v>
      </c>
      <c r="M310" s="7"/>
      <c r="N310" s="455" t="s">
        <v>1693</v>
      </c>
      <c r="O310" s="2258"/>
      <c r="P310" s="520"/>
      <c r="Q310" s="3991"/>
      <c r="R310" s="3691"/>
      <c r="S310" s="3691"/>
      <c r="T310" s="3691"/>
    </row>
    <row r="311" spans="1:24" s="43" customFormat="1" ht="10.5" customHeight="1" thickBot="1">
      <c r="A311" s="42"/>
      <c r="B311" s="1132" t="s">
        <v>3567</v>
      </c>
      <c r="C311" s="42"/>
      <c r="D311" s="48"/>
      <c r="E311" s="48"/>
      <c r="F311" s="48"/>
      <c r="G311" s="48"/>
      <c r="H311" s="36"/>
      <c r="I311" s="36"/>
      <c r="J311" s="36"/>
      <c r="K311" s="36"/>
      <c r="M311" s="46"/>
      <c r="N311" s="62"/>
      <c r="O311" s="3"/>
      <c r="P311" s="2378"/>
    </row>
    <row r="312" spans="1:24" s="43" customFormat="1" ht="21.75" customHeight="1" thickTop="1" thickBot="1">
      <c r="A312" s="3688" t="s">
        <v>7073</v>
      </c>
      <c r="B312" s="3689"/>
      <c r="C312" s="3689"/>
      <c r="D312" s="3689"/>
      <c r="E312" s="3689"/>
      <c r="F312" s="3689"/>
      <c r="G312" s="3689"/>
      <c r="H312" s="3689"/>
      <c r="I312" s="3689"/>
      <c r="J312" s="3689"/>
      <c r="K312" s="3689"/>
      <c r="L312" s="3689"/>
      <c r="M312" s="3689"/>
      <c r="N312" s="3689"/>
      <c r="O312" s="3689"/>
      <c r="P312" s="3690"/>
      <c r="Q312" s="1027" t="s">
        <v>1228</v>
      </c>
    </row>
    <row r="313" spans="1:24" s="43" customFormat="1" ht="10.5" customHeight="1" thickTop="1">
      <c r="B313" s="85" t="s">
        <v>1820</v>
      </c>
      <c r="C313" s="98"/>
      <c r="D313" s="85"/>
      <c r="E313" s="99"/>
      <c r="F313" s="2381"/>
      <c r="G313" s="2381"/>
      <c r="H313" s="2381"/>
      <c r="I313" s="2381"/>
      <c r="J313" s="2381"/>
      <c r="K313" s="2381"/>
      <c r="L313" s="2381"/>
      <c r="M313" s="2381"/>
      <c r="N313" s="74"/>
      <c r="O313" s="70"/>
      <c r="P313" s="2374"/>
      <c r="Q313" s="422"/>
    </row>
    <row r="314" spans="1:24" s="43" customFormat="1" ht="11.25" customHeight="1">
      <c r="A314" s="3609"/>
      <c r="B314" s="3610"/>
      <c r="C314" s="3610"/>
      <c r="D314" s="3610"/>
      <c r="E314" s="3610"/>
      <c r="F314" s="3610"/>
      <c r="G314" s="3610"/>
      <c r="H314" s="3610"/>
      <c r="I314" s="3610"/>
      <c r="J314" s="3610"/>
      <c r="K314" s="3610"/>
      <c r="L314" s="3610"/>
      <c r="M314" s="3610"/>
      <c r="N314" s="3610"/>
      <c r="O314" s="3610"/>
      <c r="P314" s="3611"/>
      <c r="Q314" s="440"/>
    </row>
    <row r="315" spans="1:24" s="43" customFormat="1" ht="10.95" customHeight="1" thickBot="1">
      <c r="A315" s="42"/>
      <c r="D315" s="39"/>
      <c r="E315" s="36"/>
      <c r="F315" s="846"/>
      <c r="G315" s="846"/>
      <c r="H315" s="846"/>
      <c r="I315" s="846"/>
      <c r="J315" s="856"/>
      <c r="K315" s="856"/>
      <c r="L315" s="856"/>
      <c r="M315" s="60"/>
      <c r="N315" s="846"/>
      <c r="O315" s="2378"/>
      <c r="P315" s="3"/>
    </row>
    <row r="316" spans="1:24" s="43" customFormat="1" ht="12" customHeight="1" thickBot="1">
      <c r="A316" s="152" t="s">
        <v>1683</v>
      </c>
      <c r="B316" s="105" t="s">
        <v>4606</v>
      </c>
      <c r="D316" s="41"/>
      <c r="E316" s="41"/>
      <c r="F316" s="61" t="s">
        <v>3281</v>
      </c>
      <c r="H316" s="113" t="s">
        <v>4624</v>
      </c>
      <c r="I316" s="33"/>
      <c r="J316" s="848" t="str">
        <f>'Part I-Project Information'!F39</f>
        <v>City Limits</v>
      </c>
      <c r="M316" s="2374">
        <v>5</v>
      </c>
      <c r="N316" s="6"/>
      <c r="O316" s="1041">
        <f>IF(O301&gt;0,0,MIN($M$316,MAX(O318,O322)))</f>
        <v>4</v>
      </c>
      <c r="P316" s="1041">
        <f>IF(P301&gt;0,0,MIN($M$316,MAX(P318,P322)))</f>
        <v>0</v>
      </c>
      <c r="Q316" s="109" t="s">
        <v>433</v>
      </c>
      <c r="R316" s="3674" t="s">
        <v>4577</v>
      </c>
      <c r="S316" s="3674"/>
      <c r="T316" s="3674"/>
      <c r="U316" s="3674"/>
      <c r="V316" s="3674"/>
      <c r="W316" s="1739"/>
      <c r="X316" s="1739"/>
    </row>
    <row r="317" spans="1:24" s="33" customFormat="1" ht="11.25" customHeight="1">
      <c r="A317" s="2375" t="s">
        <v>1936</v>
      </c>
      <c r="B317" s="177" t="s">
        <v>4628</v>
      </c>
      <c r="D317" s="561"/>
      <c r="J317" s="1619" t="str">
        <f>CONCATENATE('Part I-Project Information'!F38,", ",'Part I-Project Information'!J39)</f>
        <v>Hartwell, Hart</v>
      </c>
      <c r="R317" s="3674"/>
      <c r="S317" s="3674"/>
      <c r="T317" s="3674"/>
      <c r="U317" s="3674"/>
      <c r="V317" s="3674"/>
    </row>
    <row r="318" spans="1:24" s="33" customFormat="1" ht="36" customHeight="1">
      <c r="A318" s="2375"/>
      <c r="B318" s="3894" t="s">
        <v>4636</v>
      </c>
      <c r="C318" s="3894"/>
      <c r="D318" s="3894"/>
      <c r="E318" s="3894"/>
      <c r="F318" s="3894"/>
      <c r="G318" s="3894"/>
      <c r="H318" s="3894"/>
      <c r="I318" s="3894"/>
      <c r="J318" s="3894"/>
      <c r="K318" s="3894"/>
      <c r="L318" s="3894"/>
      <c r="M318" s="1621">
        <v>5</v>
      </c>
      <c r="N318" s="160" t="s">
        <v>1936</v>
      </c>
      <c r="O318" s="1622">
        <f>IF(AND(O319&gt;0,O320&gt;0),"Choose!",IF(O319&gt;0, $M$319,IF(O320&gt;0, $M$320, 0)))</f>
        <v>4</v>
      </c>
      <c r="P318" s="1622">
        <f>IF(AND(P319&gt;0,P320&gt;0),"Choose!",IF(P319&gt;0, $M$319,IF(P320&gt;0, $M$320, 0)))</f>
        <v>0</v>
      </c>
      <c r="R318" s="3674"/>
      <c r="S318" s="3674"/>
      <c r="T318" s="3674"/>
      <c r="U318" s="3674"/>
      <c r="V318" s="3674"/>
    </row>
    <row r="319" spans="1:24" s="33" customFormat="1" ht="11.25" customHeight="1">
      <c r="B319" s="847" t="s">
        <v>1939</v>
      </c>
      <c r="C319" s="559" t="s">
        <v>4626</v>
      </c>
      <c r="L319" s="374" t="str">
        <f>IF(OR($O319=$M319,$O319=0,$O319=""),"","* * Check Score! * *")</f>
        <v/>
      </c>
      <c r="M319" s="72">
        <v>5</v>
      </c>
      <c r="N319" s="430" t="s">
        <v>1939</v>
      </c>
      <c r="O319" s="2335"/>
      <c r="P319" s="2648"/>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87">
        <v>4</v>
      </c>
      <c r="P320" s="2644"/>
      <c r="Q320" s="978" t="str">
        <f>IF(OR($O320=$M320,$O320=0,$O320=""),"","*CHECK!*")</f>
        <v/>
      </c>
      <c r="R320" s="974" t="s">
        <v>4767</v>
      </c>
    </row>
    <row r="321" spans="1:21" s="33" customFormat="1" ht="11.25" customHeight="1">
      <c r="A321" s="2375" t="s">
        <v>1938</v>
      </c>
      <c r="B321" s="177" t="s">
        <v>4629</v>
      </c>
      <c r="D321" s="561"/>
      <c r="F321" s="1620" t="s">
        <v>4625</v>
      </c>
      <c r="H321" s="86" t="s">
        <v>2703</v>
      </c>
      <c r="I321" s="43"/>
      <c r="J321" s="587" t="str">
        <f>'Part I-Project Information'!$H$105</f>
        <v>Rural</v>
      </c>
    </row>
    <row r="322" spans="1:21" s="33" customFormat="1" ht="11.25" customHeight="1">
      <c r="A322" s="2375"/>
      <c r="B322" s="850" t="s">
        <v>4637</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4631</v>
      </c>
      <c r="J323" s="1623" t="s">
        <v>4630</v>
      </c>
      <c r="L323" s="3687" t="str">
        <f>IF(OR(AND(O323&gt;0,O324&gt;0), AND(O326&gt;0,O327&gt;0), AND(O323+O324&gt;0,O326+O327&gt;0)),"Choose option 1 or 2 or 3 or 4!!!",IF(AND(J321="Rural", SUM(O326:O327)&gt;0),"Cannot choose options 3 or 4 if in Rural Pool!!!",""))</f>
        <v/>
      </c>
      <c r="M323" s="72">
        <v>3</v>
      </c>
      <c r="N323" s="430" t="s">
        <v>1939</v>
      </c>
      <c r="O323" s="2335"/>
      <c r="P323" s="2648"/>
      <c r="Q323" s="978" t="str">
        <f>IF(OR($O323=$M323,$O323=0,$O323=""),"","*CHECK!*")</f>
        <v/>
      </c>
      <c r="R323" s="974" t="s">
        <v>4767</v>
      </c>
    </row>
    <row r="324" spans="1:21" ht="11.25" customHeight="1">
      <c r="A324" s="560"/>
      <c r="B324" s="562" t="s">
        <v>1941</v>
      </c>
      <c r="C324" s="434" t="s">
        <v>4632</v>
      </c>
      <c r="D324" s="33"/>
      <c r="E324" s="33"/>
      <c r="F324" s="33"/>
      <c r="G324" s="40"/>
      <c r="H324" s="852"/>
      <c r="I324" s="40"/>
      <c r="J324" s="1623" t="s">
        <v>4630</v>
      </c>
      <c r="K324" s="1624"/>
      <c r="L324" s="3687"/>
      <c r="M324" s="80">
        <v>2</v>
      </c>
      <c r="N324" s="851" t="s">
        <v>1941</v>
      </c>
      <c r="O324" s="2287"/>
      <c r="P324" s="2644"/>
      <c r="Q324" s="978" t="str">
        <f>IF(OR($O324=$M324,$O324=0,$O324=""),"","*CHECK!*")</f>
        <v/>
      </c>
      <c r="R324" s="974" t="s">
        <v>4767</v>
      </c>
    </row>
    <row r="325" spans="1:21" ht="22.5" customHeight="1">
      <c r="A325" s="560"/>
      <c r="B325" s="3893" t="s">
        <v>4635</v>
      </c>
      <c r="C325" s="3893"/>
      <c r="D325" s="3893"/>
      <c r="E325" s="3893"/>
      <c r="F325" s="3893"/>
      <c r="G325" s="3893"/>
      <c r="H325" s="3893"/>
      <c r="I325" s="3893"/>
      <c r="J325" s="3893"/>
      <c r="K325" s="3893"/>
      <c r="L325" s="3687"/>
      <c r="M325" s="80"/>
      <c r="N325" s="80"/>
      <c r="O325" s="80"/>
      <c r="P325" s="80"/>
      <c r="Q325" s="978"/>
      <c r="R325" s="1039"/>
    </row>
    <row r="326" spans="1:21" ht="11.25" customHeight="1">
      <c r="A326" s="560"/>
      <c r="B326" s="562" t="s">
        <v>2468</v>
      </c>
      <c r="C326" s="559" t="s">
        <v>4633</v>
      </c>
      <c r="D326" s="33"/>
      <c r="E326" s="33"/>
      <c r="F326" s="33"/>
      <c r="G326" s="40"/>
      <c r="H326" s="852"/>
      <c r="I326" s="40"/>
      <c r="K326" s="1624"/>
      <c r="L326" s="3687"/>
      <c r="M326" s="80">
        <v>3</v>
      </c>
      <c r="N326" s="851" t="s">
        <v>2468</v>
      </c>
      <c r="O326" s="2336"/>
      <c r="P326" s="2665"/>
      <c r="Q326" s="978" t="str">
        <f>IF(OR($O326=$M326,$O326=0,$O326=""),"","*CHECK!*")</f>
        <v/>
      </c>
      <c r="R326" s="974" t="s">
        <v>4767</v>
      </c>
    </row>
    <row r="327" spans="1:21" ht="11.25" customHeight="1">
      <c r="A327" s="560"/>
      <c r="B327" s="562" t="s">
        <v>1198</v>
      </c>
      <c r="C327" s="434" t="s">
        <v>4634</v>
      </c>
      <c r="D327" s="33"/>
      <c r="E327" s="33"/>
      <c r="F327" s="33"/>
      <c r="G327" s="40"/>
      <c r="H327" s="61"/>
      <c r="I327" s="40"/>
      <c r="K327" s="1624"/>
      <c r="L327" s="3687"/>
      <c r="M327" s="80">
        <v>2</v>
      </c>
      <c r="N327" s="851" t="s">
        <v>1198</v>
      </c>
      <c r="O327" s="2287"/>
      <c r="P327" s="2644"/>
      <c r="Q327" s="978" t="str">
        <f>IF(OR($O327=$M327,$O327=0,$O327=""),"","*CHECK!*")</f>
        <v/>
      </c>
      <c r="R327" s="974" t="s">
        <v>4767</v>
      </c>
    </row>
    <row r="328" spans="1:21" s="43" customFormat="1" ht="10.5" customHeight="1" thickBot="1">
      <c r="A328" s="42"/>
      <c r="B328" s="1132" t="s">
        <v>3567</v>
      </c>
      <c r="C328" s="42"/>
      <c r="D328" s="48"/>
      <c r="E328" s="48"/>
      <c r="F328" s="48"/>
      <c r="G328" s="48"/>
      <c r="H328" s="36"/>
      <c r="I328" s="36"/>
      <c r="J328" s="36"/>
      <c r="K328" s="36"/>
      <c r="M328" s="46"/>
      <c r="N328" s="62"/>
      <c r="O328" s="3"/>
      <c r="P328" s="2378"/>
    </row>
    <row r="329" spans="1:21" s="43" customFormat="1" ht="57.75" customHeight="1" thickTop="1" thickBot="1">
      <c r="A329" s="3688" t="s">
        <v>7132</v>
      </c>
      <c r="B329" s="3689"/>
      <c r="C329" s="3689"/>
      <c r="D329" s="3689"/>
      <c r="E329" s="3689"/>
      <c r="F329" s="3689"/>
      <c r="G329" s="3689"/>
      <c r="H329" s="3689"/>
      <c r="I329" s="3689"/>
      <c r="J329" s="3689"/>
      <c r="K329" s="3689"/>
      <c r="L329" s="3689"/>
      <c r="M329" s="3689"/>
      <c r="N329" s="3689"/>
      <c r="O329" s="3689"/>
      <c r="P329" s="3690"/>
      <c r="Q329" s="1027" t="s">
        <v>1228</v>
      </c>
    </row>
    <row r="330" spans="1:21" s="43" customFormat="1" ht="10.5" customHeight="1" thickTop="1">
      <c r="B330" s="85" t="s">
        <v>1820</v>
      </c>
      <c r="C330" s="98"/>
      <c r="D330" s="85"/>
      <c r="E330" s="99"/>
      <c r="F330" s="2381"/>
      <c r="G330" s="2381"/>
      <c r="H330" s="2381"/>
      <c r="I330" s="2381"/>
      <c r="J330" s="2381"/>
      <c r="K330" s="2381"/>
      <c r="L330" s="2381"/>
      <c r="M330" s="2381"/>
      <c r="N330" s="74"/>
      <c r="O330" s="70"/>
      <c r="P330" s="2374"/>
      <c r="Q330" s="422"/>
    </row>
    <row r="331" spans="1:21" s="43" customFormat="1" ht="11.25" customHeight="1">
      <c r="A331" s="3609"/>
      <c r="B331" s="3610"/>
      <c r="C331" s="3610"/>
      <c r="D331" s="3610"/>
      <c r="E331" s="3610"/>
      <c r="F331" s="3610"/>
      <c r="G331" s="3610"/>
      <c r="H331" s="3610"/>
      <c r="I331" s="3610"/>
      <c r="J331" s="3610"/>
      <c r="K331" s="3610"/>
      <c r="L331" s="3610"/>
      <c r="M331" s="3610"/>
      <c r="N331" s="3610"/>
      <c r="O331" s="3610"/>
      <c r="P331" s="3611"/>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9"/>
      <c r="K333" s="48"/>
      <c r="L333" s="455" t="s">
        <v>4768</v>
      </c>
      <c r="M333" s="237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4329</v>
      </c>
      <c r="D335" s="61"/>
      <c r="E335" s="61"/>
      <c r="F335" s="44"/>
      <c r="G335" s="27"/>
      <c r="L335" s="374"/>
      <c r="M335" s="7">
        <v>3</v>
      </c>
      <c r="N335" s="430" t="s">
        <v>1939</v>
      </c>
      <c r="O335" s="2256" t="s">
        <v>2886</v>
      </c>
      <c r="P335" s="518"/>
      <c r="Q335" s="978"/>
      <c r="R335" s="1039"/>
      <c r="T335" s="1023"/>
      <c r="U335" s="1023"/>
    </row>
    <row r="336" spans="1:21" s="102" customFormat="1" ht="11.25" customHeight="1">
      <c r="A336" s="138"/>
      <c r="B336" s="562" t="s">
        <v>1941</v>
      </c>
      <c r="C336" s="40" t="s">
        <v>4330</v>
      </c>
      <c r="D336" s="61"/>
      <c r="E336" s="61"/>
      <c r="F336" s="44"/>
      <c r="G336" s="27"/>
      <c r="L336" s="374"/>
      <c r="M336" s="7">
        <v>2</v>
      </c>
      <c r="N336" s="851" t="s">
        <v>1941</v>
      </c>
      <c r="O336" s="2257" t="s">
        <v>7062</v>
      </c>
      <c r="P336" s="519"/>
      <c r="Q336" s="978"/>
      <c r="R336" s="1039"/>
      <c r="T336" s="1023"/>
      <c r="U336" s="1023"/>
    </row>
    <row r="337" spans="1:21" s="102" customFormat="1" ht="10.5" customHeight="1">
      <c r="A337" s="138"/>
      <c r="B337" s="562" t="s">
        <v>2468</v>
      </c>
      <c r="C337" s="40" t="s">
        <v>4331</v>
      </c>
      <c r="D337" s="61"/>
      <c r="E337" s="61"/>
      <c r="F337" s="44"/>
      <c r="G337" s="27"/>
      <c r="K337" s="455"/>
      <c r="M337" s="7">
        <v>1</v>
      </c>
      <c r="N337" s="851" t="s">
        <v>2468</v>
      </c>
      <c r="O337" s="2258" t="s">
        <v>7062</v>
      </c>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622" t="s">
        <v>4579</v>
      </c>
      <c r="C339" s="3622"/>
      <c r="D339" s="3622"/>
      <c r="E339" s="3622"/>
      <c r="F339" s="3622"/>
      <c r="G339" s="3622"/>
      <c r="H339" s="3622"/>
      <c r="I339" s="3622"/>
      <c r="J339" s="3622"/>
      <c r="K339" s="3622"/>
      <c r="L339" s="3622"/>
      <c r="M339" s="7"/>
      <c r="N339" s="455"/>
      <c r="O339" s="2337" t="s">
        <v>7062</v>
      </c>
      <c r="P339" s="2666"/>
      <c r="Q339" s="387"/>
      <c r="R339" s="374"/>
      <c r="T339" s="1023"/>
      <c r="U339" s="1023"/>
    </row>
    <row r="340" spans="1:21" s="43" customFormat="1" ht="11.25" customHeight="1">
      <c r="A340" s="138" t="s">
        <v>731</v>
      </c>
      <c r="B340" s="165" t="s">
        <v>4332</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43" t="s">
        <v>4448</v>
      </c>
      <c r="C341" s="3443"/>
      <c r="D341" s="3443"/>
      <c r="E341" s="3443"/>
      <c r="F341" s="3443"/>
      <c r="G341" s="3443"/>
      <c r="H341" s="3443"/>
      <c r="I341" s="3443"/>
      <c r="J341" s="3443"/>
      <c r="K341" s="3443"/>
      <c r="L341" s="3443"/>
      <c r="M341" s="7"/>
      <c r="N341" s="455"/>
      <c r="O341" s="2388" t="s">
        <v>2886</v>
      </c>
      <c r="P341" s="2251"/>
      <c r="Q341" s="387"/>
      <c r="R341" s="374"/>
      <c r="T341" s="1023"/>
      <c r="U341" s="1023"/>
    </row>
    <row r="342" spans="1:21" s="43" customFormat="1" ht="22.5" customHeight="1">
      <c r="B342" s="3443" t="s">
        <v>4449</v>
      </c>
      <c r="C342" s="3443"/>
      <c r="D342" s="3443"/>
      <c r="E342" s="3443"/>
      <c r="F342" s="3443"/>
      <c r="G342" s="3443"/>
      <c r="H342" s="3443"/>
      <c r="I342" s="3443"/>
      <c r="J342" s="3443"/>
      <c r="K342" s="3443"/>
      <c r="L342" s="3443"/>
      <c r="M342" s="7"/>
      <c r="N342" s="7"/>
      <c r="O342" s="7"/>
      <c r="P342" s="7"/>
      <c r="Q342" s="387"/>
      <c r="R342" s="374"/>
      <c r="T342" s="1023"/>
      <c r="U342" s="1023"/>
    </row>
    <row r="343" spans="1:21" s="43" customFormat="1" ht="10.5" customHeight="1">
      <c r="A343" s="42"/>
      <c r="B343" s="85" t="s">
        <v>1820</v>
      </c>
      <c r="C343" s="98"/>
      <c r="D343" s="85"/>
      <c r="E343" s="99"/>
      <c r="F343" s="2381"/>
      <c r="G343" s="2381"/>
      <c r="H343" s="2381"/>
      <c r="I343" s="2381"/>
      <c r="J343" s="2381"/>
      <c r="K343" s="2381"/>
      <c r="L343" s="2381"/>
      <c r="M343" s="2381"/>
      <c r="N343" s="74"/>
      <c r="O343" s="70"/>
      <c r="P343" s="2374"/>
      <c r="Q343" s="422"/>
    </row>
    <row r="344" spans="1:21" s="43" customFormat="1" ht="11.25" customHeight="1">
      <c r="A344" s="3609"/>
      <c r="B344" s="3610"/>
      <c r="C344" s="3610"/>
      <c r="D344" s="3610"/>
      <c r="E344" s="3610"/>
      <c r="F344" s="3610"/>
      <c r="G344" s="3610"/>
      <c r="H344" s="3610"/>
      <c r="I344" s="3610"/>
      <c r="J344" s="3610"/>
      <c r="K344" s="3610"/>
      <c r="L344" s="3610"/>
      <c r="M344" s="3610"/>
      <c r="N344" s="3610"/>
      <c r="O344" s="3610"/>
      <c r="P344" s="3611"/>
      <c r="Q344" s="440"/>
    </row>
    <row r="345" spans="1:21" s="43" customFormat="1" ht="1.5" customHeight="1" thickBot="1">
      <c r="A345" s="42"/>
      <c r="B345" s="42"/>
      <c r="C345" s="2381"/>
      <c r="D345" s="2381"/>
      <c r="E345" s="2381"/>
      <c r="F345" s="2381"/>
      <c r="G345" s="2381"/>
      <c r="H345" s="2381"/>
      <c r="I345" s="2381"/>
      <c r="J345" s="2381"/>
      <c r="K345" s="2381"/>
      <c r="L345" s="2381"/>
      <c r="M345" s="2381"/>
      <c r="N345" s="74"/>
      <c r="O345" s="70"/>
      <c r="P345" s="846"/>
    </row>
    <row r="346" spans="1:21" s="43" customFormat="1" ht="12" customHeight="1" thickBot="1">
      <c r="A346" s="152" t="s">
        <v>2194</v>
      </c>
      <c r="B346" s="106" t="s">
        <v>3748</v>
      </c>
      <c r="C346" s="87"/>
      <c r="D346" s="58"/>
      <c r="E346" s="52"/>
      <c r="G346" s="55"/>
      <c r="M346" s="2374">
        <v>2</v>
      </c>
      <c r="N346" s="6"/>
      <c r="O346" s="6"/>
      <c r="P346" s="1081">
        <f>P347+P355</f>
        <v>0</v>
      </c>
      <c r="Q346" s="109" t="s">
        <v>433</v>
      </c>
    </row>
    <row r="347" spans="1:21" s="43" customFormat="1" ht="12" customHeight="1">
      <c r="A347" s="138" t="s">
        <v>1936</v>
      </c>
      <c r="B347" s="165" t="s">
        <v>3749</v>
      </c>
      <c r="C347" s="87"/>
      <c r="D347" s="58"/>
      <c r="E347" s="52"/>
      <c r="G347" s="1782" t="str">
        <f>'Part VIII-Threshold Criteria'!I352</f>
        <v>National Affordable Housing Preservation Associates, Inc.</v>
      </c>
      <c r="L347" s="455" t="s">
        <v>4816</v>
      </c>
      <c r="M347" s="1781" t="str">
        <f>'Part I-Project Information'!H100</f>
        <v>Yes</v>
      </c>
      <c r="N347" s="455" t="s">
        <v>1936</v>
      </c>
      <c r="O347" s="454" t="str">
        <f>'Part I-Project Information'!$H$100</f>
        <v>Yes</v>
      </c>
      <c r="P347" s="2661"/>
      <c r="Q347" s="109"/>
      <c r="R347" s="1039" t="s">
        <v>2626</v>
      </c>
    </row>
    <row r="348" spans="1:21" s="102" customFormat="1" ht="10.5" customHeight="1">
      <c r="A348" s="138"/>
      <c r="B348" s="372" t="s">
        <v>1939</v>
      </c>
      <c r="C348" s="36" t="s">
        <v>4384</v>
      </c>
      <c r="D348" s="33"/>
      <c r="N348" s="430" t="s">
        <v>4385</v>
      </c>
      <c r="O348" s="2256"/>
      <c r="P348" s="518"/>
      <c r="R348" s="374"/>
    </row>
    <row r="349" spans="1:21" s="102" customFormat="1" ht="10.5" customHeight="1">
      <c r="A349" s="138"/>
      <c r="B349" s="372"/>
      <c r="C349" s="36" t="s">
        <v>4741</v>
      </c>
      <c r="D349" s="33"/>
      <c r="N349" s="430" t="s">
        <v>4386</v>
      </c>
      <c r="O349" s="2257"/>
      <c r="P349" s="519"/>
      <c r="R349" s="374"/>
    </row>
    <row r="350" spans="1:21" s="102" customFormat="1" ht="10.5" customHeight="1">
      <c r="A350" s="138"/>
      <c r="B350" s="372" t="s">
        <v>1941</v>
      </c>
      <c r="C350" s="36" t="s">
        <v>3757</v>
      </c>
      <c r="D350" s="33"/>
      <c r="N350" s="851" t="s">
        <v>1941</v>
      </c>
      <c r="O350" s="2257"/>
      <c r="P350" s="519"/>
      <c r="R350" s="374"/>
    </row>
    <row r="351" spans="1:21" s="102" customFormat="1" ht="10.5" customHeight="1">
      <c r="A351" s="138"/>
      <c r="B351" s="372" t="s">
        <v>2468</v>
      </c>
      <c r="C351" s="36" t="s">
        <v>4387</v>
      </c>
      <c r="D351" s="33"/>
      <c r="N351" s="851" t="s">
        <v>2468</v>
      </c>
      <c r="O351" s="2257"/>
      <c r="P351" s="519"/>
      <c r="R351" s="374"/>
    </row>
    <row r="352" spans="1:21" s="102" customFormat="1" ht="10.5" customHeight="1">
      <c r="B352" s="372" t="s">
        <v>1198</v>
      </c>
      <c r="C352" s="36" t="s">
        <v>4333</v>
      </c>
      <c r="D352" s="33"/>
      <c r="N352" s="851" t="s">
        <v>1198</v>
      </c>
      <c r="O352" s="2257"/>
      <c r="P352" s="519"/>
      <c r="R352" s="374"/>
    </row>
    <row r="353" spans="1:19" s="102" customFormat="1" ht="10.5" customHeight="1">
      <c r="A353" s="138"/>
      <c r="B353" s="372" t="s">
        <v>1199</v>
      </c>
      <c r="C353" s="36" t="s">
        <v>4334</v>
      </c>
      <c r="D353" s="33"/>
      <c r="N353" s="851" t="s">
        <v>1199</v>
      </c>
      <c r="O353" s="2257"/>
      <c r="P353" s="519"/>
      <c r="R353" s="374"/>
    </row>
    <row r="354" spans="1:19" s="102" customFormat="1" ht="10.5" customHeight="1">
      <c r="A354" s="138"/>
      <c r="B354" s="372" t="s">
        <v>1834</v>
      </c>
      <c r="C354" s="36" t="s">
        <v>3758</v>
      </c>
      <c r="D354" s="33"/>
      <c r="N354" s="851" t="s">
        <v>1834</v>
      </c>
      <c r="O354" s="2258"/>
      <c r="P354" s="520"/>
      <c r="R354" s="374"/>
    </row>
    <row r="355" spans="1:19" s="43" customFormat="1" ht="12" customHeight="1">
      <c r="A355" s="138" t="s">
        <v>1938</v>
      </c>
      <c r="B355" s="165" t="s">
        <v>3750</v>
      </c>
      <c r="C355" s="87"/>
      <c r="D355" s="58"/>
      <c r="E355" s="52"/>
      <c r="G355" s="1782">
        <f>'Part I-Project Information'!D164</f>
        <v>0</v>
      </c>
      <c r="I355" s="477"/>
      <c r="L355" s="1112"/>
      <c r="M355" s="1112"/>
      <c r="N355" s="455" t="s">
        <v>1938</v>
      </c>
      <c r="P355" s="2661"/>
      <c r="Q355" s="109"/>
      <c r="R355" s="1039" t="s">
        <v>2626</v>
      </c>
    </row>
    <row r="356" spans="1:19" s="102" customFormat="1" ht="10.5" customHeight="1">
      <c r="A356" s="153"/>
      <c r="B356" s="372" t="s">
        <v>1939</v>
      </c>
      <c r="C356" s="36" t="s">
        <v>4384</v>
      </c>
      <c r="D356" s="52"/>
      <c r="E356" s="52"/>
      <c r="M356" s="2374"/>
      <c r="N356" s="430" t="s">
        <v>4385</v>
      </c>
      <c r="O356" s="2256"/>
      <c r="P356" s="518"/>
      <c r="Q356" s="109"/>
    </row>
    <row r="357" spans="1:19" s="102" customFormat="1" ht="10.5" customHeight="1">
      <c r="A357" s="138"/>
      <c r="B357" s="372"/>
      <c r="C357" s="36" t="s">
        <v>4769</v>
      </c>
      <c r="D357" s="33"/>
      <c r="N357" s="430" t="s">
        <v>4386</v>
      </c>
      <c r="O357" s="2257"/>
      <c r="P357" s="519"/>
      <c r="R357" s="374"/>
    </row>
    <row r="358" spans="1:19" s="102" customFormat="1" ht="10.5" customHeight="1">
      <c r="A358" s="138"/>
      <c r="B358" s="372" t="s">
        <v>1941</v>
      </c>
      <c r="C358" s="36" t="s">
        <v>3769</v>
      </c>
      <c r="D358" s="33"/>
      <c r="N358" s="851" t="s">
        <v>1941</v>
      </c>
      <c r="O358" s="2257"/>
      <c r="P358" s="519"/>
      <c r="R358" s="374"/>
    </row>
    <row r="359" spans="1:19" s="102" customFormat="1" ht="10.5" customHeight="1">
      <c r="B359" s="372" t="s">
        <v>2468</v>
      </c>
      <c r="C359" s="36" t="s">
        <v>3758</v>
      </c>
      <c r="D359" s="33"/>
      <c r="N359" s="851" t="s">
        <v>2468</v>
      </c>
      <c r="O359" s="2258"/>
      <c r="P359" s="520"/>
      <c r="R359" s="374"/>
    </row>
    <row r="360" spans="1:19" s="43" customFormat="1" ht="10.5" customHeight="1">
      <c r="B360" s="85" t="s">
        <v>1820</v>
      </c>
      <c r="C360" s="98"/>
      <c r="D360" s="85"/>
      <c r="E360" s="99"/>
      <c r="F360" s="2381"/>
      <c r="G360" s="2381"/>
      <c r="H360" s="2381"/>
      <c r="I360" s="2381"/>
      <c r="J360" s="2381"/>
      <c r="K360" s="2381"/>
      <c r="L360" s="2381"/>
      <c r="M360" s="2381"/>
      <c r="N360" s="74"/>
      <c r="O360" s="70"/>
      <c r="P360" s="2374"/>
      <c r="Q360" s="422"/>
    </row>
    <row r="361" spans="1:19" s="43" customFormat="1" ht="11.25" customHeight="1">
      <c r="A361" s="3609"/>
      <c r="B361" s="3610"/>
      <c r="C361" s="3610"/>
      <c r="D361" s="3610"/>
      <c r="E361" s="3610"/>
      <c r="F361" s="3610"/>
      <c r="G361" s="3610"/>
      <c r="H361" s="3610"/>
      <c r="I361" s="3610"/>
      <c r="J361" s="3610"/>
      <c r="K361" s="3610"/>
      <c r="L361" s="3610"/>
      <c r="M361" s="3610"/>
      <c r="N361" s="3610"/>
      <c r="O361" s="3610"/>
      <c r="P361" s="3611"/>
      <c r="Q361" s="440"/>
    </row>
    <row r="362" spans="1:19" ht="2.25" customHeight="1"/>
    <row r="363" spans="1:19" s="43" customFormat="1" ht="2.25" customHeight="1" thickBot="1">
      <c r="A363" s="42"/>
      <c r="C363" s="2381"/>
      <c r="D363" s="2381"/>
      <c r="E363" s="2381"/>
      <c r="F363" s="2381"/>
      <c r="G363" s="2381"/>
      <c r="H363" s="2381"/>
      <c r="I363" s="2381"/>
      <c r="J363" s="2381"/>
      <c r="K363" s="2381"/>
      <c r="L363" s="2381"/>
      <c r="M363" s="2381"/>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92">
        <v>1</v>
      </c>
      <c r="P364" s="2650"/>
      <c r="Q364" s="109" t="s">
        <v>433</v>
      </c>
      <c r="R364" s="3673" t="s">
        <v>4767</v>
      </c>
      <c r="S364" s="3673"/>
    </row>
    <row r="365" spans="1:19" s="43" customFormat="1" ht="11.25" customHeight="1">
      <c r="A365" s="138"/>
      <c r="B365" s="113" t="s">
        <v>3454</v>
      </c>
      <c r="D365" s="88"/>
      <c r="E365" s="88"/>
      <c r="G365" s="52"/>
      <c r="I365" s="3284" t="s">
        <v>7103</v>
      </c>
      <c r="J365" s="3285"/>
      <c r="K365" s="3285"/>
      <c r="L365" s="3286"/>
      <c r="M365" s="426"/>
      <c r="N365" s="393"/>
      <c r="O365" s="1112" t="s">
        <v>2444</v>
      </c>
      <c r="P365" s="1112" t="s">
        <v>2444</v>
      </c>
      <c r="Q365" s="978"/>
      <c r="R365" s="3673"/>
      <c r="S365" s="3673"/>
    </row>
    <row r="366" spans="1:19" s="43" customFormat="1" ht="11.25" customHeight="1">
      <c r="A366" s="138"/>
      <c r="B366" s="372" t="s">
        <v>1939</v>
      </c>
      <c r="C366" s="55" t="s">
        <v>6802</v>
      </c>
      <c r="D366" s="88"/>
      <c r="E366" s="1813" t="s">
        <v>4347</v>
      </c>
      <c r="G366" s="52"/>
      <c r="I366" s="1228"/>
      <c r="J366" s="997"/>
      <c r="K366" s="997"/>
      <c r="L366" s="997"/>
      <c r="M366" s="2385"/>
      <c r="N366" s="1458"/>
      <c r="O366" s="2256" t="s">
        <v>2886</v>
      </c>
      <c r="P366" s="518"/>
      <c r="Q366" s="1459"/>
      <c r="R366" s="3673"/>
      <c r="S366" s="3673"/>
    </row>
    <row r="367" spans="1:19" s="102" customFormat="1" ht="11.25" customHeight="1">
      <c r="A367" s="138"/>
      <c r="B367" s="51"/>
      <c r="C367" s="36"/>
      <c r="D367" s="51" t="s">
        <v>1326</v>
      </c>
      <c r="E367" s="36" t="s">
        <v>6803</v>
      </c>
      <c r="G367" s="52"/>
      <c r="H367" s="1055"/>
      <c r="I367" s="36"/>
      <c r="J367" s="36"/>
      <c r="K367" s="36"/>
      <c r="L367" s="2338"/>
      <c r="N367" s="1458"/>
      <c r="O367" s="2258"/>
      <c r="P367" s="520"/>
      <c r="Q367" s="1814"/>
      <c r="R367" s="3673"/>
      <c r="S367" s="3673"/>
    </row>
    <row r="368" spans="1:19" s="43" customFormat="1" ht="11.25" customHeight="1">
      <c r="B368" s="372" t="s">
        <v>1941</v>
      </c>
      <c r="C368" s="40" t="s">
        <v>4348</v>
      </c>
      <c r="D368" s="102"/>
      <c r="E368" s="88"/>
      <c r="F368" s="52"/>
      <c r="G368" s="52"/>
      <c r="N368" s="455"/>
      <c r="O368" s="1112" t="s">
        <v>2444</v>
      </c>
      <c r="P368" s="1112" t="s">
        <v>2444</v>
      </c>
    </row>
    <row r="369" spans="1:19" s="117" customFormat="1" ht="10.5" customHeight="1">
      <c r="B369" s="373" t="s">
        <v>2372</v>
      </c>
      <c r="C369" s="428" t="s">
        <v>3751</v>
      </c>
      <c r="H369" s="39"/>
      <c r="I369" s="39"/>
      <c r="J369" s="39"/>
      <c r="K369" s="39"/>
      <c r="N369" s="373" t="s">
        <v>2372</v>
      </c>
      <c r="O369" s="2256" t="s">
        <v>2886</v>
      </c>
      <c r="P369" s="518"/>
    </row>
    <row r="370" spans="1:19" s="117" customFormat="1" ht="10.5" customHeight="1">
      <c r="B370" s="386" t="s">
        <v>2373</v>
      </c>
      <c r="C370" s="428" t="s">
        <v>3752</v>
      </c>
      <c r="N370" s="386" t="s">
        <v>2373</v>
      </c>
      <c r="O370" s="2257" t="s">
        <v>2886</v>
      </c>
      <c r="P370" s="519"/>
    </row>
    <row r="371" spans="1:19" s="117" customFormat="1" ht="10.5" customHeight="1">
      <c r="B371" s="373" t="s">
        <v>2374</v>
      </c>
      <c r="C371" s="428" t="s">
        <v>4580</v>
      </c>
      <c r="N371" s="373" t="s">
        <v>2374</v>
      </c>
      <c r="O371" s="2258" t="s">
        <v>2886</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4"/>
    </row>
    <row r="375" spans="1:19" s="43" customFormat="1" ht="38.25" customHeight="1" thickTop="1" thickBot="1">
      <c r="A375" s="3688" t="s">
        <v>7104</v>
      </c>
      <c r="B375" s="3689"/>
      <c r="C375" s="3689"/>
      <c r="D375" s="3689"/>
      <c r="E375" s="3689"/>
      <c r="F375" s="3689"/>
      <c r="G375" s="3689"/>
      <c r="H375" s="3689"/>
      <c r="I375" s="3689"/>
      <c r="J375" s="3689"/>
      <c r="K375" s="3689"/>
      <c r="L375" s="3689"/>
      <c r="M375" s="3689"/>
      <c r="N375" s="3689"/>
      <c r="O375" s="3689"/>
      <c r="P375" s="3690"/>
      <c r="Q375" s="1027" t="s">
        <v>1228</v>
      </c>
    </row>
    <row r="376" spans="1:19" s="102" customFormat="1" ht="10.5" customHeight="1" thickTop="1">
      <c r="A376" s="42"/>
      <c r="B376" s="97" t="s">
        <v>1820</v>
      </c>
      <c r="C376" s="42"/>
      <c r="D376" s="97"/>
      <c r="E376" s="2394"/>
      <c r="F376" s="2394"/>
      <c r="G376" s="2394"/>
      <c r="H376" s="2394"/>
      <c r="I376" s="2394"/>
      <c r="J376" s="2394"/>
      <c r="K376" s="2394"/>
      <c r="L376" s="2394"/>
      <c r="M376" s="2394"/>
      <c r="N376" s="93"/>
      <c r="O376" s="836"/>
      <c r="P376" s="2374"/>
      <c r="Q376" s="422"/>
    </row>
    <row r="377" spans="1:19" s="43" customFormat="1" ht="11.25" customHeight="1">
      <c r="A377" s="3609"/>
      <c r="B377" s="3610"/>
      <c r="C377" s="3610"/>
      <c r="D377" s="3610"/>
      <c r="E377" s="3610"/>
      <c r="F377" s="3610"/>
      <c r="G377" s="3610"/>
      <c r="H377" s="3610"/>
      <c r="I377" s="3610"/>
      <c r="J377" s="3610"/>
      <c r="K377" s="3610"/>
      <c r="L377" s="3610"/>
      <c r="M377" s="3610"/>
      <c r="N377" s="3610"/>
      <c r="O377" s="3610"/>
      <c r="P377" s="3611"/>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4336</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60" t="str">
        <f>IF(OR(O381="No",O381="",O382="No",O382="",O383="No",O383="",O384="No",O384=""),"Unmet criterion results in no points!","")</f>
        <v/>
      </c>
      <c r="M381" s="3860"/>
      <c r="N381" s="373" t="s">
        <v>2372</v>
      </c>
      <c r="O381" s="2256" t="s">
        <v>2886</v>
      </c>
      <c r="P381" s="518"/>
      <c r="R381" s="3983" t="str">
        <f>IF(OR(P381="No",P381="",P382="No",P382="",P383="No",P383="",P384="No",P384=""),"Unmet criterion results in no points!","")</f>
        <v>Unmet criterion results in no points!</v>
      </c>
      <c r="S381" s="3983" t="e">
        <f>IF(OR(V381="No",V381="",V382="No",V382="",V383="No",V383="",V384="No",V384="",#REF!="No",#REF!="",#REF!="No",#REF!=""),"Unmet criterion results in no points!","")</f>
        <v>#REF!</v>
      </c>
    </row>
    <row r="382" spans="1:19" s="100" customFormat="1" ht="12.75" customHeight="1">
      <c r="B382" s="373" t="s">
        <v>2373</v>
      </c>
      <c r="C382" s="134" t="s">
        <v>3615</v>
      </c>
      <c r="L382" s="3860"/>
      <c r="M382" s="3860"/>
      <c r="N382" s="373" t="s">
        <v>2373</v>
      </c>
      <c r="O382" s="2257" t="s">
        <v>2886</v>
      </c>
      <c r="P382" s="519"/>
      <c r="R382" s="3983"/>
      <c r="S382" s="3983"/>
    </row>
    <row r="383" spans="1:19" s="100" customFormat="1" ht="12.75" customHeight="1">
      <c r="B383" s="373" t="s">
        <v>2374</v>
      </c>
      <c r="C383" s="134" t="s">
        <v>3614</v>
      </c>
      <c r="L383" s="3860"/>
      <c r="M383" s="3860"/>
      <c r="N383" s="373" t="s">
        <v>2374</v>
      </c>
      <c r="O383" s="2257" t="s">
        <v>2886</v>
      </c>
      <c r="P383" s="519"/>
      <c r="R383" s="3983"/>
      <c r="S383" s="3983"/>
    </row>
    <row r="384" spans="1:19" s="100" customFormat="1" ht="33.75" customHeight="1">
      <c r="B384" s="386" t="s">
        <v>2375</v>
      </c>
      <c r="C384" s="3869" t="s">
        <v>4335</v>
      </c>
      <c r="D384" s="3869"/>
      <c r="E384" s="3869"/>
      <c r="F384" s="3869"/>
      <c r="G384" s="3869"/>
      <c r="H384" s="3869"/>
      <c r="I384" s="3869"/>
      <c r="J384" s="3869"/>
      <c r="K384" s="3869"/>
      <c r="L384" s="3869"/>
      <c r="M384" s="3869"/>
      <c r="N384" s="386" t="s">
        <v>2375</v>
      </c>
      <c r="O384" s="2388" t="s">
        <v>2886</v>
      </c>
      <c r="P384" s="2251"/>
    </row>
    <row r="385" spans="1:20" ht="3" customHeight="1">
      <c r="C385" s="3869"/>
      <c r="D385" s="3869"/>
      <c r="E385" s="3869"/>
      <c r="F385" s="3869"/>
      <c r="G385" s="3869"/>
      <c r="H385" s="3869"/>
      <c r="I385" s="3869"/>
      <c r="J385" s="3869"/>
      <c r="K385" s="3869"/>
      <c r="L385" s="3869"/>
      <c r="M385" s="3869"/>
    </row>
    <row r="386" spans="1:20" ht="12.75" customHeight="1">
      <c r="A386" s="996" t="s">
        <v>1936</v>
      </c>
      <c r="B386" s="177" t="s">
        <v>3755</v>
      </c>
      <c r="L386" s="374" t="str">
        <f>IF(O386&lt;=M386,"","* * Check Score! * *")</f>
        <v/>
      </c>
      <c r="M386" s="1074">
        <v>3</v>
      </c>
      <c r="N386" s="455" t="s">
        <v>1936</v>
      </c>
      <c r="O386" s="2291">
        <v>2</v>
      </c>
      <c r="P386" s="2659"/>
      <c r="Q386" s="978" t="str">
        <f>IF(O386&lt;=M386,"","*CHECK!*")</f>
        <v/>
      </c>
      <c r="R386" s="3982" t="s">
        <v>4767</v>
      </c>
      <c r="S386" s="3982"/>
      <c r="T386" s="1745"/>
    </row>
    <row r="387" spans="1:20" ht="12.75" customHeight="1">
      <c r="A387" s="996"/>
      <c r="B387" s="562" t="s">
        <v>1939</v>
      </c>
      <c r="C387" s="981" t="s">
        <v>4338</v>
      </c>
      <c r="D387" s="981"/>
      <c r="E387" s="981"/>
      <c r="F387" s="981"/>
      <c r="G387" s="981"/>
      <c r="H387" s="981"/>
      <c r="I387" s="981"/>
      <c r="N387" s="27"/>
      <c r="O387" s="27"/>
      <c r="P387" s="27"/>
      <c r="R387" s="3982"/>
      <c r="S387" s="3982"/>
      <c r="T387" s="1745"/>
    </row>
    <row r="388" spans="1:20" ht="12.75" customHeight="1">
      <c r="A388" s="996"/>
      <c r="B388" s="435"/>
      <c r="C388" s="981" t="s">
        <v>4337</v>
      </c>
      <c r="D388" s="981"/>
      <c r="E388" s="981"/>
      <c r="F388" s="981"/>
      <c r="G388" s="981"/>
      <c r="H388" s="981"/>
      <c r="I388" s="981"/>
      <c r="J388" s="3859" t="s">
        <v>1943</v>
      </c>
      <c r="K388" s="3859"/>
      <c r="M388" s="3859" t="s">
        <v>1943</v>
      </c>
      <c r="N388" s="3859"/>
      <c r="O388" s="3859"/>
      <c r="P388" s="3859"/>
      <c r="R388" s="3982"/>
      <c r="S388" s="3982"/>
      <c r="T388" s="1745"/>
    </row>
    <row r="389" spans="1:20" s="43" customFormat="1" ht="12.75" customHeight="1">
      <c r="A389" s="175"/>
      <c r="B389" s="373" t="s">
        <v>2372</v>
      </c>
      <c r="C389" s="36" t="s">
        <v>1451</v>
      </c>
      <c r="I389" s="373" t="s">
        <v>2372</v>
      </c>
      <c r="J389" s="3874"/>
      <c r="K389" s="3875"/>
      <c r="L389" s="373" t="s">
        <v>2372</v>
      </c>
      <c r="M389" s="3696"/>
      <c r="N389" s="3697"/>
      <c r="O389" s="3697"/>
      <c r="P389" s="3698"/>
      <c r="R389" s="374"/>
    </row>
    <row r="390" spans="1:20" ht="12.75" customHeight="1">
      <c r="A390" s="176"/>
      <c r="B390" s="386" t="s">
        <v>2373</v>
      </c>
      <c r="C390" s="36" t="s">
        <v>3457</v>
      </c>
      <c r="I390" s="386" t="s">
        <v>2373</v>
      </c>
      <c r="J390" s="3699"/>
      <c r="K390" s="3700"/>
      <c r="L390" s="386" t="s">
        <v>2373</v>
      </c>
      <c r="M390" s="3693"/>
      <c r="N390" s="3694"/>
      <c r="O390" s="3694"/>
      <c r="P390" s="3695"/>
      <c r="R390" s="374"/>
    </row>
    <row r="391" spans="1:20" ht="12.75" customHeight="1">
      <c r="B391" s="373" t="s">
        <v>2374</v>
      </c>
      <c r="C391" s="36" t="s">
        <v>4581</v>
      </c>
      <c r="I391" s="373" t="s">
        <v>2374</v>
      </c>
      <c r="J391" s="3699"/>
      <c r="K391" s="3700"/>
      <c r="L391" s="373" t="s">
        <v>2374</v>
      </c>
      <c r="M391" s="3693"/>
      <c r="N391" s="3694"/>
      <c r="O391" s="3694"/>
      <c r="P391" s="3695"/>
      <c r="R391" s="374"/>
    </row>
    <row r="392" spans="1:20" ht="12.75" customHeight="1">
      <c r="A392" s="176"/>
      <c r="B392" s="373" t="s">
        <v>2375</v>
      </c>
      <c r="C392" s="36" t="s">
        <v>3345</v>
      </c>
      <c r="I392" s="373" t="s">
        <v>2375</v>
      </c>
      <c r="J392" s="3699"/>
      <c r="K392" s="3700"/>
      <c r="L392" s="373" t="s">
        <v>2375</v>
      </c>
      <c r="M392" s="3693"/>
      <c r="N392" s="3694"/>
      <c r="O392" s="3694"/>
      <c r="P392" s="3695"/>
      <c r="R392" s="374"/>
    </row>
    <row r="393" spans="1:20" s="43" customFormat="1" ht="12.75" customHeight="1">
      <c r="A393" s="175"/>
      <c r="B393" s="386" t="s">
        <v>2376</v>
      </c>
      <c r="C393" s="36" t="s">
        <v>2647</v>
      </c>
      <c r="I393" s="386" t="s">
        <v>2376</v>
      </c>
      <c r="J393" s="3699"/>
      <c r="K393" s="3700"/>
      <c r="L393" s="386" t="s">
        <v>2376</v>
      </c>
      <c r="M393" s="3693"/>
      <c r="N393" s="3694"/>
      <c r="O393" s="3694"/>
      <c r="P393" s="3695"/>
      <c r="R393" s="374"/>
    </row>
    <row r="394" spans="1:20" ht="12.75" customHeight="1">
      <c r="B394" s="373" t="s">
        <v>2392</v>
      </c>
      <c r="C394" s="36" t="s">
        <v>1450</v>
      </c>
      <c r="I394" s="373" t="s">
        <v>2392</v>
      </c>
      <c r="J394" s="3699"/>
      <c r="K394" s="3700"/>
      <c r="L394" s="373" t="s">
        <v>2392</v>
      </c>
      <c r="M394" s="3693"/>
      <c r="N394" s="3694"/>
      <c r="O394" s="3694"/>
      <c r="P394" s="3695"/>
      <c r="R394" s="374"/>
    </row>
    <row r="395" spans="1:20" ht="12.75" customHeight="1">
      <c r="A395" s="176"/>
      <c r="B395" s="373" t="s">
        <v>2393</v>
      </c>
      <c r="C395" s="36" t="s">
        <v>3456</v>
      </c>
      <c r="I395" s="373" t="s">
        <v>2393</v>
      </c>
      <c r="J395" s="3699"/>
      <c r="K395" s="3700"/>
      <c r="L395" s="373" t="s">
        <v>2393</v>
      </c>
      <c r="M395" s="3693"/>
      <c r="N395" s="3694"/>
      <c r="O395" s="3694"/>
      <c r="P395" s="3695"/>
      <c r="R395" s="374"/>
    </row>
    <row r="396" spans="1:20" ht="12.75" customHeight="1">
      <c r="B396" s="385" t="s">
        <v>2394</v>
      </c>
      <c r="C396" s="36" t="s">
        <v>4339</v>
      </c>
      <c r="I396" s="385" t="s">
        <v>2394</v>
      </c>
      <c r="J396" s="3699"/>
      <c r="K396" s="3700"/>
      <c r="L396" s="385" t="s">
        <v>2394</v>
      </c>
      <c r="M396" s="3693"/>
      <c r="N396" s="3694"/>
      <c r="O396" s="3694"/>
      <c r="P396" s="3695"/>
      <c r="R396" s="374"/>
    </row>
    <row r="397" spans="1:20" ht="12.75" customHeight="1">
      <c r="B397" s="385" t="s">
        <v>2395</v>
      </c>
      <c r="C397" s="36" t="s">
        <v>4340</v>
      </c>
      <c r="I397" s="385" t="s">
        <v>2395</v>
      </c>
      <c r="J397" s="3699"/>
      <c r="K397" s="3700"/>
      <c r="L397" s="385" t="s">
        <v>2395</v>
      </c>
      <c r="M397" s="3693"/>
      <c r="N397" s="3694"/>
      <c r="O397" s="3694"/>
      <c r="P397" s="3695"/>
      <c r="R397" s="374"/>
    </row>
    <row r="398" spans="1:20" ht="12.75" customHeight="1" thickBot="1">
      <c r="B398" s="385" t="s">
        <v>3458</v>
      </c>
      <c r="C398" s="36" t="s">
        <v>4341</v>
      </c>
      <c r="I398" s="385" t="s">
        <v>3458</v>
      </c>
      <c r="J398" s="3699">
        <v>600000</v>
      </c>
      <c r="K398" s="3700"/>
      <c r="L398" s="385" t="s">
        <v>3458</v>
      </c>
      <c r="M398" s="3890"/>
      <c r="N398" s="3891"/>
      <c r="O398" s="3891"/>
      <c r="P398" s="3892"/>
      <c r="R398" s="374"/>
    </row>
    <row r="399" spans="1:20" ht="12.75" customHeight="1" thickBot="1">
      <c r="B399" s="1110" t="s">
        <v>4342</v>
      </c>
      <c r="H399" s="1131" t="s">
        <v>2559</v>
      </c>
      <c r="J399" s="3685">
        <f>SUM(J389:K398)</f>
        <v>600000</v>
      </c>
      <c r="K399" s="3686"/>
      <c r="M399" s="3685">
        <f>SUM($M389:$M398)</f>
        <v>0</v>
      </c>
      <c r="N399" s="3873"/>
      <c r="O399" s="3873"/>
      <c r="P399" s="3686"/>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888" t="s">
        <v>4451</v>
      </c>
      <c r="D402" s="3888"/>
      <c r="E402" s="3888"/>
      <c r="F402" s="428" t="s">
        <v>4373</v>
      </c>
      <c r="H402" s="27"/>
      <c r="I402" s="2339">
        <v>11974075</v>
      </c>
      <c r="J402" s="3876">
        <f>'Part IV-A-Uses of Funds'!$G$132</f>
        <v>11974075</v>
      </c>
      <c r="K402" s="3877"/>
      <c r="L402" s="524"/>
      <c r="M402" s="492"/>
      <c r="N402" s="492"/>
      <c r="O402" s="1064"/>
      <c r="P402" s="492"/>
    </row>
    <row r="403" spans="1:23" ht="12.75" customHeight="1">
      <c r="C403" s="3888"/>
      <c r="D403" s="3888"/>
      <c r="E403" s="3888"/>
      <c r="F403" s="432" t="s">
        <v>4372</v>
      </c>
      <c r="I403" s="2340">
        <v>0.05</v>
      </c>
      <c r="J403" s="3883">
        <f>IF($J402=0,0,$J399/$J402)</f>
        <v>5.0108254708610057E-2</v>
      </c>
      <c r="K403" s="3884"/>
      <c r="M403" s="3885">
        <f>IF($J402=0,0,$M399/$J402)</f>
        <v>0</v>
      </c>
      <c r="N403" s="3886"/>
      <c r="O403" s="3886"/>
      <c r="P403" s="3887"/>
    </row>
    <row r="404" spans="1:23" s="43" customFormat="1" ht="12.75" customHeight="1">
      <c r="C404" s="3888"/>
      <c r="D404" s="3888"/>
      <c r="E404" s="3888"/>
      <c r="F404" s="1013" t="s">
        <v>4371</v>
      </c>
      <c r="I404" s="2341">
        <v>2</v>
      </c>
      <c r="J404" s="3880">
        <f>IF(L381="", IF($J403&gt;=0.1, 3,IF($J403&gt;=0.05, 2,IF($J403&gt;=0.02,1,0))),0)</f>
        <v>2</v>
      </c>
      <c r="K404" s="3882"/>
      <c r="L404" s="503"/>
      <c r="M404" s="3880">
        <f>IF(R381="", IF($M403&gt;=0.1, 3,IF($M403&gt;=0.05, 2,IF($M403&gt;=0.02,1,0))),0)</f>
        <v>0</v>
      </c>
      <c r="N404" s="3881"/>
      <c r="O404" s="3881"/>
      <c r="P404" s="3882"/>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92">
        <v>0</v>
      </c>
      <c r="P406" s="2650"/>
      <c r="Q406" s="109" t="s">
        <v>433</v>
      </c>
      <c r="R406" s="974" t="s">
        <v>4767</v>
      </c>
      <c r="V406" s="1023"/>
      <c r="W406" s="1023"/>
    </row>
    <row r="407" spans="1:23" s="43" customFormat="1" ht="22.5" customHeight="1">
      <c r="A407" s="138"/>
      <c r="B407" s="986" t="s">
        <v>2372</v>
      </c>
      <c r="C407" s="3443" t="s">
        <v>3756</v>
      </c>
      <c r="D407" s="3443"/>
      <c r="E407" s="3443"/>
      <c r="F407" s="3443"/>
      <c r="G407" s="3443"/>
      <c r="H407" s="3443"/>
      <c r="I407" s="3443"/>
      <c r="J407" s="3443"/>
      <c r="K407" s="3443"/>
      <c r="L407" s="3443"/>
      <c r="M407" s="3443"/>
      <c r="N407" s="386" t="s">
        <v>2372</v>
      </c>
      <c r="O407" s="2274" t="s">
        <v>7062</v>
      </c>
      <c r="P407" s="2667"/>
      <c r="V407" s="1023"/>
      <c r="W407" s="1023"/>
    </row>
    <row r="408" spans="1:23" s="43" customFormat="1" ht="12.75" customHeight="1">
      <c r="A408" s="138"/>
      <c r="B408" s="373" t="s">
        <v>2373</v>
      </c>
      <c r="C408" s="52" t="s">
        <v>3607</v>
      </c>
      <c r="D408" s="52"/>
      <c r="E408" s="52"/>
      <c r="F408" s="52"/>
      <c r="G408" s="52"/>
      <c r="H408" s="52"/>
      <c r="I408" s="52"/>
      <c r="J408" s="52"/>
      <c r="K408" s="52"/>
      <c r="M408" s="52"/>
      <c r="N408" s="386" t="s">
        <v>2373</v>
      </c>
      <c r="O408" s="2258" t="s">
        <v>7062</v>
      </c>
      <c r="P408" s="520"/>
      <c r="V408" s="1023"/>
      <c r="W408" s="1023"/>
    </row>
    <row r="409" spans="1:23" ht="12.75" customHeight="1">
      <c r="B409" s="373" t="s">
        <v>2374</v>
      </c>
      <c r="C409" s="427" t="s">
        <v>4343</v>
      </c>
      <c r="N409" s="373" t="s">
        <v>2374</v>
      </c>
      <c r="O409" s="2258" t="s">
        <v>7062</v>
      </c>
      <c r="P409" s="520"/>
    </row>
    <row r="410" spans="1:23" ht="12" customHeight="1" thickBot="1">
      <c r="B410" s="1132" t="s">
        <v>3567</v>
      </c>
    </row>
    <row r="411" spans="1:23" s="43" customFormat="1" ht="39" customHeight="1" thickTop="1" thickBot="1">
      <c r="A411" s="3688" t="s">
        <v>7135</v>
      </c>
      <c r="B411" s="3689"/>
      <c r="C411" s="3689"/>
      <c r="D411" s="3689"/>
      <c r="E411" s="3689"/>
      <c r="F411" s="3689"/>
      <c r="G411" s="3689"/>
      <c r="H411" s="3689"/>
      <c r="I411" s="3689"/>
      <c r="J411" s="3689"/>
      <c r="K411" s="3689"/>
      <c r="L411" s="3689"/>
      <c r="M411" s="3689"/>
      <c r="N411" s="3689"/>
      <c r="O411" s="3689"/>
      <c r="P411" s="3690"/>
      <c r="Q411" s="1027" t="s">
        <v>1228</v>
      </c>
    </row>
    <row r="412" spans="1:23" s="102" customFormat="1" ht="11.25" customHeight="1" thickTop="1">
      <c r="A412" s="42"/>
      <c r="B412" s="494" t="s">
        <v>1820</v>
      </c>
      <c r="C412" s="98"/>
      <c r="D412" s="97"/>
      <c r="E412" s="2398"/>
      <c r="F412" s="2394"/>
      <c r="G412" s="2394"/>
      <c r="H412" s="2394"/>
      <c r="I412" s="2394"/>
      <c r="J412" s="2394"/>
      <c r="K412" s="2394"/>
      <c r="L412" s="2394"/>
      <c r="M412" s="2394"/>
      <c r="N412" s="93"/>
      <c r="O412" s="836"/>
      <c r="P412" s="2374"/>
      <c r="Q412" s="422"/>
    </row>
    <row r="413" spans="1:23" s="43" customFormat="1" ht="11.25" customHeight="1">
      <c r="A413" s="3609"/>
      <c r="B413" s="3610"/>
      <c r="C413" s="3610"/>
      <c r="D413" s="3610"/>
      <c r="E413" s="3610"/>
      <c r="F413" s="3610"/>
      <c r="G413" s="3610"/>
      <c r="H413" s="3610"/>
      <c r="I413" s="3610"/>
      <c r="J413" s="3610"/>
      <c r="K413" s="3610"/>
      <c r="L413" s="3610"/>
      <c r="M413" s="3610"/>
      <c r="N413" s="3610"/>
      <c r="O413" s="3610"/>
      <c r="P413" s="3611"/>
      <c r="Q413" s="440"/>
    </row>
    <row r="414" spans="1:23" s="43" customFormat="1" ht="3" customHeight="1" thickBot="1">
      <c r="A414" s="42"/>
      <c r="B414" s="42"/>
      <c r="C414" s="2381"/>
      <c r="D414" s="2381"/>
      <c r="E414" s="2381"/>
      <c r="F414" s="2381"/>
      <c r="G414" s="2381"/>
      <c r="H414" s="2381"/>
      <c r="I414" s="2381"/>
      <c r="J414" s="2381"/>
      <c r="K414" s="2381"/>
      <c r="L414" s="2381"/>
      <c r="M414" s="2381"/>
      <c r="N414" s="74"/>
      <c r="O414" s="70"/>
      <c r="P414" s="846"/>
    </row>
    <row r="415" spans="1:23" s="43" customFormat="1" ht="13.5" customHeight="1" thickBot="1">
      <c r="A415" s="1722" t="s">
        <v>3784</v>
      </c>
      <c r="B415" s="105" t="s">
        <v>2640</v>
      </c>
      <c r="D415" s="40"/>
      <c r="G415" s="61" t="s">
        <v>3281</v>
      </c>
      <c r="J415" s="36"/>
      <c r="K415" s="36"/>
      <c r="L415" s="36"/>
      <c r="M415" s="237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3346</v>
      </c>
      <c r="D417" s="3284" t="s">
        <v>4442</v>
      </c>
      <c r="E417" s="3285"/>
      <c r="F417" s="3285"/>
      <c r="G417" s="3285"/>
      <c r="H417" s="3285"/>
      <c r="I417" s="3286"/>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91"/>
      <c r="P419" s="2659"/>
      <c r="Q419" s="978" t="str">
        <f>IF(OR($O419=$M419,$O419=0,$O419=""),"","*CHECK!*")</f>
        <v/>
      </c>
      <c r="R419" s="974" t="s">
        <v>4767</v>
      </c>
    </row>
    <row r="420" spans="1:19" s="409" customFormat="1" ht="12" customHeight="1">
      <c r="A420" s="408"/>
      <c r="B420" s="3454" t="s">
        <v>4584</v>
      </c>
      <c r="C420" s="3454"/>
      <c r="D420" s="3454"/>
      <c r="E420" s="3454"/>
      <c r="F420" s="3454"/>
      <c r="G420" s="3454"/>
      <c r="H420" s="3454"/>
      <c r="I420" s="3454"/>
      <c r="J420" s="3454"/>
      <c r="K420" s="3454"/>
      <c r="L420" s="3454"/>
      <c r="M420" s="3865" t="s">
        <v>4443</v>
      </c>
      <c r="N420" s="3865"/>
      <c r="Q420" s="172"/>
    </row>
    <row r="421" spans="1:19" s="409" customFormat="1" ht="12" customHeight="1">
      <c r="B421" s="3454"/>
      <c r="C421" s="3454"/>
      <c r="D421" s="3454"/>
      <c r="E421" s="3454"/>
      <c r="F421" s="3454"/>
      <c r="G421" s="3454"/>
      <c r="H421" s="3454"/>
      <c r="I421" s="3454"/>
      <c r="J421" s="3454"/>
      <c r="K421" s="3454"/>
      <c r="L421" s="3454"/>
      <c r="M421" s="3865"/>
      <c r="N421" s="3865"/>
      <c r="O421" s="3878">
        <f>'Part VI-Revenues &amp; Expenses'!$P$123</f>
        <v>0</v>
      </c>
      <c r="P421" s="3879"/>
      <c r="Q421" s="172"/>
    </row>
    <row r="422" spans="1:19" s="409" customFormat="1" ht="12" customHeight="1">
      <c r="B422" s="3454"/>
      <c r="C422" s="3454"/>
      <c r="D422" s="3454"/>
      <c r="E422" s="3454"/>
      <c r="F422" s="3454"/>
      <c r="G422" s="3454"/>
      <c r="H422" s="3454"/>
      <c r="I422" s="3454"/>
      <c r="J422" s="3454"/>
      <c r="K422" s="3454"/>
      <c r="L422" s="3454"/>
      <c r="M422" s="983" t="s">
        <v>2732</v>
      </c>
      <c r="N422" s="410"/>
      <c r="O422" s="3863">
        <f>'Part VI-Revenues &amp; Expenses'!$P$67</f>
        <v>60</v>
      </c>
      <c r="P422" s="3864"/>
      <c r="Q422" s="172"/>
    </row>
    <row r="423" spans="1:19" s="409" customFormat="1" ht="12" customHeight="1">
      <c r="B423" s="3889"/>
      <c r="C423" s="3889"/>
      <c r="D423" s="3889"/>
      <c r="E423" s="3889"/>
      <c r="F423" s="3889"/>
      <c r="G423" s="3889"/>
      <c r="H423" s="3889"/>
      <c r="I423" s="3889"/>
      <c r="J423" s="3889"/>
      <c r="K423" s="3889"/>
      <c r="L423" s="3889"/>
      <c r="M423" s="1451" t="s">
        <v>2733</v>
      </c>
      <c r="N423" s="410"/>
      <c r="O423" s="3861">
        <f>IF(O422=0,0,O421/O422)</f>
        <v>0</v>
      </c>
      <c r="P423" s="3862"/>
      <c r="Q423" s="172"/>
    </row>
    <row r="424" spans="1:19" s="43" customFormat="1" ht="66.75" customHeight="1">
      <c r="A424" s="513"/>
      <c r="B424" s="3474" t="s">
        <v>3845</v>
      </c>
      <c r="C424" s="3475"/>
      <c r="D424" s="3475"/>
      <c r="E424" s="3475"/>
      <c r="F424" s="3475"/>
      <c r="G424" s="3475"/>
      <c r="H424" s="3475"/>
      <c r="I424" s="3475"/>
      <c r="J424" s="3475"/>
      <c r="K424" s="3475"/>
      <c r="L424" s="3475"/>
      <c r="M424" s="3475"/>
      <c r="N424" s="3475"/>
      <c r="O424" s="3475"/>
      <c r="P424" s="3476"/>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4583</v>
      </c>
      <c r="C426" s="139"/>
      <c r="D426" s="835"/>
      <c r="H426" s="389"/>
      <c r="M426" s="410">
        <v>2</v>
      </c>
      <c r="N426" s="160" t="s">
        <v>1938</v>
      </c>
      <c r="O426" s="2291"/>
      <c r="P426" s="2659"/>
      <c r="Q426" s="978" t="str">
        <f>IF(OR($O426=$M426,$O426=0,$O426=""),"","*CHECK!*")</f>
        <v/>
      </c>
      <c r="R426" s="974" t="s">
        <v>4767</v>
      </c>
    </row>
    <row r="427" spans="1:19" s="409" customFormat="1" ht="11.25" customHeight="1">
      <c r="A427" s="514"/>
      <c r="B427" s="3443" t="s">
        <v>4344</v>
      </c>
      <c r="C427" s="3443"/>
      <c r="D427" s="3443"/>
      <c r="E427" s="3443"/>
      <c r="F427" s="3443"/>
      <c r="G427" s="3443"/>
      <c r="H427" s="3443"/>
      <c r="I427" s="3443"/>
      <c r="J427" s="3443"/>
      <c r="K427" s="3443"/>
      <c r="L427" s="3443"/>
      <c r="M427" s="1504" t="s">
        <v>4345</v>
      </c>
      <c r="O427" s="3871">
        <f>'Part VI-Revenues &amp; Expenses'!$P$125</f>
        <v>0</v>
      </c>
      <c r="P427" s="3872"/>
      <c r="Q427" s="172"/>
    </row>
    <row r="428" spans="1:19" s="409" customFormat="1" ht="11.25" customHeight="1">
      <c r="A428" s="514"/>
      <c r="B428" s="3443"/>
      <c r="C428" s="3443"/>
      <c r="D428" s="3443"/>
      <c r="E428" s="3443"/>
      <c r="F428" s="3443"/>
      <c r="G428" s="3443"/>
      <c r="H428" s="3443"/>
      <c r="I428" s="3443"/>
      <c r="J428" s="3443"/>
      <c r="K428" s="3443"/>
      <c r="L428" s="3443"/>
      <c r="M428" s="1146" t="s">
        <v>2732</v>
      </c>
      <c r="N428" s="410"/>
      <c r="O428" s="3863">
        <f>'Part VI-Revenues &amp; Expenses'!$P$67</f>
        <v>60</v>
      </c>
      <c r="P428" s="3864"/>
      <c r="Q428" s="172"/>
    </row>
    <row r="429" spans="1:19" s="409" customFormat="1" ht="11.25" customHeight="1">
      <c r="A429" s="514"/>
      <c r="B429" s="3443"/>
      <c r="C429" s="3443"/>
      <c r="D429" s="3443"/>
      <c r="E429" s="3443"/>
      <c r="F429" s="3443"/>
      <c r="G429" s="3443"/>
      <c r="H429" s="3443"/>
      <c r="I429" s="3443"/>
      <c r="J429" s="3443"/>
      <c r="K429" s="3443"/>
      <c r="L429" s="3443"/>
      <c r="M429" s="1451" t="s">
        <v>2733</v>
      </c>
      <c r="N429" s="410"/>
      <c r="O429" s="3861">
        <f>IF(O428=0,0,L415/O428)</f>
        <v>0</v>
      </c>
      <c r="P429" s="3862"/>
      <c r="Q429" s="172"/>
    </row>
    <row r="430" spans="1:19" s="43" customFormat="1" ht="11.25" customHeight="1" thickBot="1">
      <c r="A430" s="42"/>
      <c r="B430" s="1132" t="s">
        <v>3567</v>
      </c>
      <c r="C430" s="42"/>
      <c r="D430" s="48"/>
      <c r="E430" s="48"/>
      <c r="F430" s="48"/>
      <c r="G430" s="48"/>
      <c r="H430" s="36"/>
      <c r="I430" s="36"/>
      <c r="J430" s="36"/>
      <c r="K430" s="36"/>
      <c r="M430" s="46"/>
      <c r="N430" s="62"/>
      <c r="O430" s="3"/>
      <c r="P430" s="2378"/>
    </row>
    <row r="431" spans="1:19" s="43" customFormat="1" ht="66.599999999999994" customHeight="1" thickTop="1" thickBot="1">
      <c r="A431" s="3688" t="s">
        <v>7133</v>
      </c>
      <c r="B431" s="3689"/>
      <c r="C431" s="3689"/>
      <c r="D431" s="3689"/>
      <c r="E431" s="3689"/>
      <c r="F431" s="3689"/>
      <c r="G431" s="3689"/>
      <c r="H431" s="3689"/>
      <c r="I431" s="3689"/>
      <c r="J431" s="3689"/>
      <c r="K431" s="3689"/>
      <c r="L431" s="3689"/>
      <c r="M431" s="3689"/>
      <c r="N431" s="3689"/>
      <c r="O431" s="3689"/>
      <c r="P431" s="3690"/>
      <c r="Q431" s="1027" t="s">
        <v>1228</v>
      </c>
      <c r="R431" s="441"/>
    </row>
    <row r="432" spans="1:19" s="43" customFormat="1" ht="10.5" customHeight="1" thickTop="1">
      <c r="B432" s="85" t="s">
        <v>1820</v>
      </c>
      <c r="C432" s="98"/>
      <c r="D432" s="85"/>
      <c r="E432" s="99"/>
      <c r="F432" s="2381"/>
      <c r="G432" s="2381"/>
      <c r="H432" s="2381"/>
      <c r="I432" s="2381"/>
      <c r="J432" s="2381"/>
      <c r="K432" s="2381"/>
      <c r="L432" s="2381"/>
      <c r="M432" s="2381"/>
      <c r="N432" s="74"/>
      <c r="O432" s="70"/>
      <c r="P432" s="2374"/>
      <c r="Q432" s="422"/>
    </row>
    <row r="433" spans="1:18" s="43" customFormat="1" ht="22.2" customHeight="1">
      <c r="A433" s="3609"/>
      <c r="B433" s="3610"/>
      <c r="C433" s="3610"/>
      <c r="D433" s="3610"/>
      <c r="E433" s="3610"/>
      <c r="F433" s="3610"/>
      <c r="G433" s="3610"/>
      <c r="H433" s="3610"/>
      <c r="I433" s="3610"/>
      <c r="J433" s="3610"/>
      <c r="K433" s="3610"/>
      <c r="L433" s="3610"/>
      <c r="M433" s="3610"/>
      <c r="N433" s="3610"/>
      <c r="O433" s="3610"/>
      <c r="P433" s="3611"/>
      <c r="Q433" s="440"/>
    </row>
    <row r="434" spans="1:18" s="43" customFormat="1" ht="3" customHeight="1" thickBot="1">
      <c r="A434" s="42"/>
      <c r="B434" s="42"/>
      <c r="C434" s="2381"/>
      <c r="D434" s="2381"/>
      <c r="E434" s="2381"/>
      <c r="F434" s="2381"/>
      <c r="G434" s="2381"/>
      <c r="H434" s="2381"/>
      <c r="I434" s="2381"/>
      <c r="J434" s="2381"/>
      <c r="K434" s="2381"/>
      <c r="L434" s="2381"/>
      <c r="M434" s="2381"/>
      <c r="N434" s="74"/>
      <c r="O434" s="70"/>
      <c r="P434" s="846"/>
    </row>
    <row r="435" spans="1:18" s="102" customFormat="1" ht="11.25" customHeight="1" thickBot="1">
      <c r="A435" s="153" t="s">
        <v>3787</v>
      </c>
      <c r="B435" s="105" t="s">
        <v>4718</v>
      </c>
      <c r="D435" s="45"/>
      <c r="E435" s="45"/>
      <c r="F435" s="39"/>
      <c r="G435" s="36"/>
      <c r="I435" s="36"/>
      <c r="J435" s="36"/>
      <c r="K435" s="36"/>
      <c r="L435" s="374" t="str">
        <f>IF(OR($O435=$M435,$O435&lt;=0,$O435=""),"","* * Check Score! * *")</f>
        <v/>
      </c>
      <c r="M435" s="237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4"/>
      <c r="N436" s="6"/>
      <c r="O436" s="6"/>
      <c r="P436" s="6"/>
      <c r="Q436" s="109"/>
    </row>
    <row r="437" spans="1:18" s="102" customFormat="1" ht="10.5" customHeight="1">
      <c r="A437" s="153"/>
      <c r="B437" s="86" t="s">
        <v>3484</v>
      </c>
      <c r="D437" s="45"/>
      <c r="E437" s="45"/>
      <c r="F437" s="39"/>
      <c r="G437" s="36"/>
      <c r="I437" s="36"/>
      <c r="J437" s="36"/>
      <c r="K437" s="36"/>
      <c r="L437" s="374"/>
      <c r="M437" s="2374"/>
      <c r="N437" s="6"/>
      <c r="O437" s="1087">
        <v>10</v>
      </c>
      <c r="P437" s="1087">
        <v>10</v>
      </c>
      <c r="Q437" s="109"/>
    </row>
    <row r="438" spans="1:18" s="102" customFormat="1" ht="10.5" customHeight="1">
      <c r="A438" s="153"/>
      <c r="B438" s="86" t="s">
        <v>3485</v>
      </c>
      <c r="D438" s="45"/>
      <c r="E438" s="45"/>
      <c r="F438" s="39"/>
      <c r="G438" s="36"/>
      <c r="I438" s="36"/>
      <c r="J438" s="36"/>
      <c r="K438" s="36"/>
      <c r="L438" s="374"/>
      <c r="M438" s="2374"/>
      <c r="N438" s="6"/>
      <c r="O438" s="2342">
        <v>0</v>
      </c>
      <c r="P438" s="2664"/>
      <c r="Q438" s="109"/>
    </row>
    <row r="439" spans="1:18" s="102" customFormat="1" ht="10.5" customHeight="1">
      <c r="A439" s="153"/>
      <c r="B439" s="86" t="s">
        <v>3486</v>
      </c>
      <c r="D439" s="45"/>
      <c r="E439" s="45"/>
      <c r="F439" s="39"/>
      <c r="G439" s="36"/>
      <c r="I439" s="36"/>
      <c r="J439" s="36"/>
      <c r="K439" s="36"/>
      <c r="L439" s="374"/>
      <c r="M439" s="2374"/>
      <c r="N439" s="6"/>
      <c r="O439" s="2343">
        <v>0</v>
      </c>
      <c r="P439" s="2644"/>
      <c r="Q439" s="109"/>
    </row>
    <row r="440" spans="1:18" s="102" customFormat="1" ht="10.5" customHeight="1">
      <c r="A440" s="66"/>
      <c r="B440" s="66" t="s">
        <v>1820</v>
      </c>
      <c r="C440" s="50"/>
      <c r="D440" s="66"/>
      <c r="E440" s="2394"/>
      <c r="F440" s="2394"/>
      <c r="G440" s="2394"/>
      <c r="H440" s="2394"/>
      <c r="I440" s="2394"/>
      <c r="J440" s="2394"/>
      <c r="K440" s="2394"/>
      <c r="L440" s="2394"/>
      <c r="M440" s="2394"/>
      <c r="N440" s="93"/>
      <c r="O440" s="836"/>
      <c r="P440" s="2374"/>
    </row>
    <row r="441" spans="1:18" s="43" customFormat="1" ht="10.95" customHeight="1">
      <c r="A441" s="3609"/>
      <c r="B441" s="3610"/>
      <c r="C441" s="3610"/>
      <c r="D441" s="3610"/>
      <c r="E441" s="3610"/>
      <c r="F441" s="3610"/>
      <c r="G441" s="3610"/>
      <c r="H441" s="3610"/>
      <c r="I441" s="3610"/>
      <c r="J441" s="3610"/>
      <c r="K441" s="3610"/>
      <c r="L441" s="3610"/>
      <c r="M441" s="3610"/>
      <c r="N441" s="3610"/>
      <c r="O441" s="3610"/>
      <c r="P441" s="3611"/>
      <c r="Q441" s="1027" t="s">
        <v>1228</v>
      </c>
      <c r="R441" s="441"/>
    </row>
    <row r="442" spans="1:18" s="43" customFormat="1" ht="6" customHeight="1" thickBot="1">
      <c r="A442" s="153"/>
      <c r="B442" s="42"/>
      <c r="C442" s="2381"/>
      <c r="D442" s="2381"/>
      <c r="E442" s="2381"/>
      <c r="F442" s="2381"/>
      <c r="G442" s="2381"/>
      <c r="H442" s="2381"/>
      <c r="I442" s="2381"/>
      <c r="J442" s="2381"/>
      <c r="K442" s="2381"/>
      <c r="L442" s="2381"/>
      <c r="M442" s="238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4"/>
      <c r="O444" s="2374"/>
      <c r="P444" s="453">
        <f>P232</f>
        <v>0</v>
      </c>
    </row>
    <row r="445" spans="1:18" s="42" customFormat="1" ht="11.25" customHeight="1">
      <c r="A445" s="54"/>
      <c r="B445" s="67"/>
      <c r="C445" s="54"/>
      <c r="D445" s="35"/>
      <c r="E445" s="35"/>
      <c r="F445" s="69"/>
      <c r="G445" s="69"/>
      <c r="H445" s="165" t="s">
        <v>3840</v>
      </c>
      <c r="J445" s="68"/>
      <c r="K445" s="68"/>
      <c r="L445" s="43"/>
      <c r="M445" s="35"/>
      <c r="N445" s="2374"/>
      <c r="O445" s="453"/>
      <c r="P445" s="453">
        <f>P346</f>
        <v>0</v>
      </c>
    </row>
    <row r="446" spans="1:18" s="43" customFormat="1" ht="11.25" customHeight="1">
      <c r="A446" s="42"/>
      <c r="D446" s="39"/>
      <c r="E446" s="36"/>
      <c r="F446" s="846"/>
      <c r="H446" s="165" t="s">
        <v>3842</v>
      </c>
      <c r="I446" s="846"/>
      <c r="J446" s="856"/>
      <c r="K446" s="856"/>
      <c r="L446" s="856"/>
      <c r="M446" s="60"/>
      <c r="N446" s="846"/>
      <c r="O446" s="2378"/>
      <c r="P446" s="1087">
        <f>P443-P444-P445</f>
        <v>20</v>
      </c>
    </row>
    <row r="447" spans="1:18" s="158" customFormat="1" ht="2.25" customHeight="1">
      <c r="A447" s="54"/>
      <c r="B447" s="67"/>
      <c r="C447" s="54"/>
      <c r="D447" s="147"/>
      <c r="E447" s="147"/>
      <c r="F447" s="40"/>
      <c r="G447" s="40"/>
      <c r="H447" s="69"/>
      <c r="I447" s="69"/>
      <c r="J447" s="470"/>
      <c r="K447" s="470"/>
      <c r="L447" s="43"/>
      <c r="M447" s="147"/>
      <c r="N447" s="2374"/>
      <c r="O447" s="2374"/>
      <c r="P447" s="3"/>
    </row>
    <row r="448" spans="1:18" s="43" customFormat="1" ht="22.5" customHeight="1">
      <c r="A448" s="3870" t="s">
        <v>6847</v>
      </c>
      <c r="B448" s="3870"/>
      <c r="C448" s="3870"/>
      <c r="D448" s="3870"/>
      <c r="E448" s="3870"/>
      <c r="F448" s="3870"/>
      <c r="G448" s="3870"/>
      <c r="H448" s="3870"/>
      <c r="I448" s="3870"/>
      <c r="J448" s="3870"/>
      <c r="K448" s="3870"/>
      <c r="L448" s="3870"/>
      <c r="M448" s="3870"/>
      <c r="N448" s="3870"/>
      <c r="O448" s="3870"/>
      <c r="P448" s="3870"/>
    </row>
    <row r="449" spans="1:20" s="43" customFormat="1" ht="409.2" customHeight="1">
      <c r="A449" s="3498" t="s">
        <v>7134</v>
      </c>
      <c r="B449" s="3499"/>
      <c r="C449" s="3499"/>
      <c r="D449" s="3499"/>
      <c r="E449" s="3499"/>
      <c r="F449" s="3499"/>
      <c r="G449" s="3499"/>
      <c r="H449" s="3499"/>
      <c r="I449" s="3499"/>
      <c r="J449" s="3499"/>
      <c r="K449" s="3499"/>
      <c r="L449" s="3499"/>
      <c r="M449" s="3499"/>
      <c r="N449" s="3499"/>
      <c r="O449" s="3499"/>
      <c r="P449" s="3500"/>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3301</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675" t="s">
        <v>1472</v>
      </c>
      <c r="H469" s="3675"/>
      <c r="I469" s="3675"/>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4773</v>
      </c>
      <c r="H470" s="1769" t="s">
        <v>4774</v>
      </c>
      <c r="I470" s="1768" t="s">
        <v>4772</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3577</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4776</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4775</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4775</v>
      </c>
      <c r="J475" s="1769" t="s">
        <v>3578</v>
      </c>
      <c r="K475" s="446"/>
      <c r="L475" s="1772"/>
      <c r="M475" s="446"/>
      <c r="N475" s="447"/>
      <c r="O475" s="1760">
        <v>1</v>
      </c>
      <c r="P475" s="1760"/>
      <c r="Q475" s="1761"/>
      <c r="R475" s="1762"/>
      <c r="S475" s="1762"/>
      <c r="T475" s="1762"/>
    </row>
    <row r="476" spans="3:20" s="158" customFormat="1">
      <c r="C476" s="1770" t="s">
        <v>2702</v>
      </c>
      <c r="D476" s="446"/>
      <c r="E476" s="446"/>
      <c r="F476" s="446"/>
      <c r="G476" s="1771" t="s">
        <v>3613</v>
      </c>
      <c r="H476" s="447">
        <v>2019</v>
      </c>
      <c r="I476" s="447" t="s">
        <v>4775</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4776</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4776</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4775</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1881</v>
      </c>
      <c r="H486" s="447">
        <v>2019</v>
      </c>
      <c r="I486" s="447" t="s">
        <v>4775</v>
      </c>
      <c r="J486" s="1773" t="s">
        <v>3588</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4775</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2615</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4775</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4776</v>
      </c>
      <c r="I494" s="1768" t="s">
        <v>2615</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2615</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2615</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4775</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4775</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4776</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4776</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WZULmDwdZ/m9kL+nd71vb56P1cLT1rIWAmucOJmxhLgJ0m6WjScqycHMRVLfWnNxhhLgmjONWKRSVxqy+oA1cg==" saltValue="A5OlQqgPhMFoYZbzkCFPk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4002" t="s">
        <v>2811</v>
      </c>
      <c r="B1" s="4002"/>
      <c r="C1" s="4002"/>
      <c r="D1" s="4002"/>
      <c r="E1" s="4002"/>
      <c r="F1" s="4002"/>
      <c r="G1" s="4002"/>
      <c r="H1" s="4002"/>
      <c r="I1" s="4002"/>
      <c r="J1" s="4002"/>
    </row>
    <row r="2" spans="1:16" ht="15.6">
      <c r="A2" s="4002" t="str">
        <f>'Sensitivity Analysis'!C8</f>
        <v>The Pointe at St. Martin</v>
      </c>
      <c r="B2" s="4002"/>
      <c r="C2" s="4002"/>
      <c r="D2" s="4002"/>
      <c r="E2" s="4002"/>
      <c r="F2" s="4002"/>
      <c r="G2" s="4002"/>
      <c r="H2" s="4002"/>
      <c r="I2" s="4002"/>
      <c r="J2" s="4002"/>
    </row>
    <row r="3" spans="1:16" ht="15.6">
      <c r="A3" s="4002" t="str">
        <f>'Subsidy Layering Memo'!F14</f>
        <v>Hartwell, Hart</v>
      </c>
      <c r="B3" s="4002"/>
      <c r="C3" s="4002"/>
      <c r="D3" s="4002"/>
      <c r="E3" s="4002"/>
      <c r="F3" s="4002"/>
      <c r="G3" s="4002"/>
      <c r="H3" s="4002"/>
      <c r="I3" s="4002"/>
      <c r="J3" s="4002"/>
    </row>
    <row r="4" spans="1:16" ht="15.6">
      <c r="A4" s="4003" t="s">
        <v>2812</v>
      </c>
      <c r="B4" s="4002"/>
      <c r="C4" s="4002"/>
      <c r="D4" s="4002"/>
      <c r="E4" s="4002"/>
      <c r="F4" s="4002"/>
      <c r="G4" s="4002"/>
      <c r="H4" s="4002"/>
      <c r="I4" s="4002"/>
      <c r="J4" s="4002"/>
    </row>
    <row r="5" spans="1:16" ht="5.25" customHeight="1"/>
    <row r="6" spans="1:16" ht="5.25" customHeight="1"/>
    <row r="7" spans="1:16" ht="15.6">
      <c r="A7" s="4004" t="s">
        <v>2813</v>
      </c>
      <c r="B7" s="4004"/>
      <c r="C7" s="4005"/>
      <c r="M7" s="4006"/>
      <c r="N7" s="4006"/>
      <c r="O7" s="4006"/>
      <c r="P7" s="4006"/>
    </row>
    <row r="8" spans="1:16" ht="57" customHeight="1">
      <c r="A8" s="4007" t="s">
        <v>4473</v>
      </c>
      <c r="B8" s="4007"/>
      <c r="C8" s="4007"/>
      <c r="D8" s="4007"/>
      <c r="E8" s="4007"/>
      <c r="F8" s="4007"/>
      <c r="G8" s="4007"/>
      <c r="H8" s="4007"/>
      <c r="I8" s="4007"/>
      <c r="J8" s="4007"/>
      <c r="K8" s="611"/>
    </row>
    <row r="9" spans="1:16" ht="45.75" customHeight="1">
      <c r="A9" s="400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Hartwell, Hart County, Georgia, with the development of 60 units (UNIT DESCRIPTION) set aside for Family.</v>
      </c>
      <c r="B9" s="4007"/>
      <c r="C9" s="4007"/>
      <c r="D9" s="4007"/>
      <c r="E9" s="4007"/>
      <c r="F9" s="4007"/>
      <c r="G9" s="4007"/>
      <c r="H9" s="4007"/>
      <c r="I9" s="4007"/>
      <c r="J9" s="4007"/>
      <c r="K9" s="611"/>
    </row>
    <row r="10" spans="1:16" ht="15.6">
      <c r="A10" s="612" t="s">
        <v>2814</v>
      </c>
    </row>
    <row r="11" spans="1:16" ht="16.5" customHeight="1">
      <c r="A11" s="4007" t="str">
        <f>'Subsidy Layering Memo'!A44</f>
        <v xml:space="preserve">Ownership entity:  (NAME) LP, a Georgia Limited Partnership, will be the ownership entity for the proposed project. </v>
      </c>
      <c r="B11" s="4009"/>
      <c r="C11" s="4009"/>
      <c r="D11" s="4009"/>
      <c r="E11" s="4009"/>
      <c r="F11" s="4009"/>
      <c r="G11" s="4009"/>
      <c r="H11" s="4009"/>
      <c r="I11" s="4009"/>
      <c r="J11" s="4007"/>
    </row>
    <row r="12" spans="1:16" ht="63.75" customHeight="1">
      <c r="A12" s="4007" t="s">
        <v>2844</v>
      </c>
      <c r="B12" s="4007"/>
      <c r="C12" s="4007"/>
      <c r="D12" s="4007"/>
      <c r="E12" s="4007"/>
      <c r="F12" s="4007"/>
      <c r="G12" s="4007"/>
      <c r="H12" s="4007"/>
      <c r="I12" s="4007"/>
      <c r="J12" s="4007"/>
    </row>
    <row r="13" spans="1:16" ht="48.75" customHeight="1">
      <c r="A13" s="4007" t="s">
        <v>2845</v>
      </c>
      <c r="B13" s="4007"/>
      <c r="C13" s="4007"/>
      <c r="D13" s="4007"/>
      <c r="E13" s="4007"/>
      <c r="F13" s="4007"/>
      <c r="G13" s="4007"/>
      <c r="H13" s="4007"/>
      <c r="I13" s="4007"/>
      <c r="J13" s="4007"/>
    </row>
    <row r="14" spans="1:16" ht="15.6">
      <c r="A14" s="612" t="s">
        <v>2815</v>
      </c>
      <c r="B14" s="613"/>
    </row>
    <row r="15" spans="1:16">
      <c r="A15" s="610" t="s">
        <v>2816</v>
      </c>
      <c r="D15" s="1530" t="s">
        <v>2817</v>
      </c>
    </row>
    <row r="16" spans="1:16">
      <c r="A16" s="610" t="s">
        <v>2818</v>
      </c>
      <c r="D16" s="1528">
        <f>'Sensitivity Analysis'!C25</f>
        <v>600000</v>
      </c>
    </row>
    <row r="17" spans="1:11">
      <c r="A17" s="614" t="s">
        <v>2819</v>
      </c>
      <c r="D17" s="1529">
        <f>'Sensitivity Analysis'!C13</f>
        <v>60</v>
      </c>
    </row>
    <row r="18" spans="1:11" ht="14.25" customHeight="1"/>
    <row r="19" spans="1:11" ht="15.6">
      <c r="A19" s="612" t="s">
        <v>2820</v>
      </c>
      <c r="B19" s="613"/>
      <c r="C19" s="613"/>
    </row>
    <row r="20" spans="1:11" ht="48.75" customHeight="1">
      <c r="A20" s="4010" t="s">
        <v>2847</v>
      </c>
      <c r="B20" s="4010"/>
      <c r="C20" s="4010"/>
      <c r="D20" s="4010"/>
      <c r="E20" s="4010"/>
      <c r="F20" s="4010"/>
      <c r="G20" s="4010"/>
      <c r="H20" s="4010"/>
      <c r="I20" s="4010"/>
      <c r="J20" s="4010"/>
    </row>
    <row r="21" spans="1:11" ht="72.75" customHeight="1">
      <c r="A21" s="4007" t="s">
        <v>4472</v>
      </c>
      <c r="B21" s="4007"/>
      <c r="C21" s="4007"/>
      <c r="D21" s="4007"/>
      <c r="E21" s="4007"/>
      <c r="F21" s="4007"/>
      <c r="G21" s="4007"/>
      <c r="H21" s="4007"/>
      <c r="I21" s="4007"/>
      <c r="J21" s="4007"/>
    </row>
    <row r="22" spans="1:11" ht="15.6">
      <c r="A22" s="612" t="s">
        <v>2821</v>
      </c>
      <c r="B22" s="613"/>
      <c r="C22" s="613"/>
      <c r="D22" s="613"/>
      <c r="E22" s="613"/>
      <c r="F22" s="613"/>
    </row>
    <row r="23" spans="1:11" ht="102.75" customHeight="1">
      <c r="A23" s="4011" t="s">
        <v>2840</v>
      </c>
      <c r="B23" s="4011"/>
      <c r="C23" s="4011"/>
      <c r="D23" s="4011"/>
      <c r="E23" s="4011"/>
      <c r="F23" s="4011"/>
      <c r="G23" s="4011"/>
      <c r="H23" s="4011"/>
      <c r="I23" s="4011"/>
      <c r="J23" s="4011"/>
      <c r="K23" s="1232"/>
    </row>
    <row r="24" spans="1:11" ht="15" customHeight="1">
      <c r="A24" s="4008"/>
      <c r="B24" s="4008"/>
      <c r="C24" s="4008"/>
      <c r="D24" s="4008"/>
      <c r="E24" s="4008"/>
      <c r="F24" s="4008"/>
      <c r="G24" s="4008"/>
      <c r="H24" s="4008"/>
      <c r="I24" s="4008"/>
      <c r="J24" s="4008"/>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The Pointe at St. Martin</v>
      </c>
    </row>
    <row r="13" spans="1:10">
      <c r="A13" s="620"/>
      <c r="D13" s="619" t="s">
        <v>2835</v>
      </c>
      <c r="F13" s="1527" t="str">
        <f>'Sensitivity Analysis'!E8</f>
        <v>2020-091</v>
      </c>
    </row>
    <row r="14" spans="1:10">
      <c r="A14" s="620"/>
      <c r="D14" s="619" t="s">
        <v>2836</v>
      </c>
      <c r="F14" s="1527" t="str">
        <f>'Sensitivity Analysis'!H8</f>
        <v>Hartwell, Hart</v>
      </c>
    </row>
    <row r="15" spans="1:10">
      <c r="A15" s="620"/>
      <c r="D15" s="619" t="s">
        <v>3198</v>
      </c>
      <c r="F15" s="4024">
        <f>'Sensitivity Analysis'!$C$25</f>
        <v>600000</v>
      </c>
      <c r="G15" s="4024"/>
      <c r="H15" s="4024"/>
    </row>
    <row r="16" spans="1:10">
      <c r="A16" s="620"/>
      <c r="D16" s="622" t="s">
        <v>2837</v>
      </c>
      <c r="F16" s="623">
        <f>'Sensitivity Analysis'!C13</f>
        <v>60</v>
      </c>
      <c r="G16" s="624" t="s">
        <v>3199</v>
      </c>
      <c r="H16" s="1168">
        <f>'Sensitivity Analysis'!E13</f>
        <v>60</v>
      </c>
    </row>
    <row r="17" spans="1:18">
      <c r="A17" s="620"/>
      <c r="D17" s="622" t="s">
        <v>2801</v>
      </c>
      <c r="F17" s="623" t="str">
        <f>'Sensitivity Analysis'!C14</f>
        <v>Family</v>
      </c>
    </row>
    <row r="18" spans="1:18">
      <c r="A18" s="620"/>
      <c r="D18" s="622" t="s">
        <v>3203</v>
      </c>
      <c r="F18" s="1527" t="str">
        <f>'Sensitivity Analysis'!H15</f>
        <v>Rural</v>
      </c>
    </row>
    <row r="19" spans="1:18">
      <c r="A19" s="620"/>
      <c r="D19" s="622" t="s">
        <v>3200</v>
      </c>
      <c r="F19" s="1527" t="str">
        <f>'Sensitivity Analysis'!E16</f>
        <v>No</v>
      </c>
    </row>
    <row r="20" spans="1:18">
      <c r="A20" s="620"/>
      <c r="D20" s="622"/>
    </row>
    <row r="21" spans="1:18">
      <c r="A21" s="625" t="s">
        <v>2838</v>
      </c>
    </row>
    <row r="22" spans="1:18" ht="111.75" customHeight="1">
      <c r="A22" s="4013" t="s">
        <v>3375</v>
      </c>
      <c r="B22" s="4013"/>
      <c r="C22" s="4013"/>
      <c r="D22" s="4013"/>
      <c r="E22" s="4013"/>
      <c r="F22" s="4013"/>
      <c r="G22" s="4013"/>
      <c r="H22" s="4013"/>
      <c r="I22" s="4013"/>
      <c r="J22" s="4013"/>
      <c r="K22" s="4012" t="s">
        <v>4474</v>
      </c>
      <c r="L22" s="4012"/>
      <c r="M22" s="4012"/>
      <c r="N22" s="401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14"/>
      <c r="B24" s="4014"/>
      <c r="C24" s="4014"/>
      <c r="D24" s="4014"/>
      <c r="E24" s="4014"/>
      <c r="F24" s="4014"/>
      <c r="G24" s="4014"/>
      <c r="H24" s="4014"/>
      <c r="I24" s="4014"/>
      <c r="J24" s="4014"/>
    </row>
    <row r="25" spans="1:18" ht="10.5" hidden="1" customHeight="1">
      <c r="A25" s="4015"/>
      <c r="B25" s="4015"/>
      <c r="C25" s="4015"/>
      <c r="D25" s="4015"/>
      <c r="E25" s="4015"/>
      <c r="F25" s="4015"/>
      <c r="G25" s="4015"/>
      <c r="H25" s="4015"/>
      <c r="I25" s="4015"/>
      <c r="J25" s="4015"/>
    </row>
    <row r="26" spans="1:18">
      <c r="A26" s="625" t="s">
        <v>2839</v>
      </c>
    </row>
    <row r="27" spans="1:18" ht="14.25" customHeight="1">
      <c r="A27" s="4016" t="s">
        <v>2840</v>
      </c>
      <c r="B27" s="4016"/>
      <c r="C27" s="4016"/>
      <c r="D27" s="4016"/>
      <c r="E27" s="4016"/>
      <c r="F27" s="4016"/>
      <c r="G27" s="4016"/>
      <c r="H27" s="4016"/>
      <c r="I27" s="4016"/>
      <c r="J27" s="4016"/>
    </row>
    <row r="28" spans="1:18" ht="14.25" customHeight="1">
      <c r="A28" s="4016"/>
      <c r="B28" s="4016"/>
      <c r="C28" s="4016"/>
      <c r="D28" s="4016"/>
      <c r="E28" s="4016"/>
      <c r="F28" s="4016"/>
      <c r="G28" s="4016"/>
      <c r="H28" s="4016"/>
      <c r="I28" s="4016"/>
      <c r="J28" s="4016"/>
    </row>
    <row r="29" spans="1:18" ht="6.75" customHeight="1">
      <c r="A29" s="4016"/>
      <c r="B29" s="4016"/>
      <c r="C29" s="4016"/>
      <c r="D29" s="4016"/>
      <c r="E29" s="4016"/>
      <c r="F29" s="4016"/>
      <c r="G29" s="4016"/>
      <c r="H29" s="4016"/>
      <c r="I29" s="4016"/>
      <c r="J29" s="4016"/>
    </row>
    <row r="30" spans="1:18" ht="14.25" customHeight="1">
      <c r="A30" s="4016"/>
      <c r="B30" s="4016"/>
      <c r="C30" s="4016"/>
      <c r="D30" s="4016"/>
      <c r="E30" s="4016"/>
      <c r="F30" s="4016"/>
      <c r="G30" s="4016"/>
      <c r="H30" s="4016"/>
      <c r="I30" s="4016"/>
      <c r="J30" s="4016"/>
    </row>
    <row r="31" spans="1:18" ht="14.25" customHeight="1">
      <c r="A31" s="4016"/>
      <c r="B31" s="4016"/>
      <c r="C31" s="4016"/>
      <c r="D31" s="4016"/>
      <c r="E31" s="4016"/>
      <c r="F31" s="4016"/>
      <c r="G31" s="4016"/>
      <c r="H31" s="4016"/>
      <c r="I31" s="4016"/>
      <c r="J31" s="4016"/>
    </row>
    <row r="32" spans="1:18" ht="54.75" customHeight="1">
      <c r="A32" s="4016"/>
      <c r="B32" s="4016"/>
      <c r="C32" s="4016"/>
      <c r="D32" s="4016"/>
      <c r="E32" s="4016"/>
      <c r="F32" s="4016"/>
      <c r="G32" s="4016"/>
      <c r="H32" s="4016"/>
      <c r="I32" s="4016"/>
      <c r="J32" s="4016"/>
    </row>
    <row r="33" spans="1:10" ht="0.75" hidden="1" customHeight="1">
      <c r="A33" s="4016"/>
      <c r="B33" s="4016"/>
      <c r="C33" s="4016"/>
      <c r="D33" s="4016"/>
      <c r="E33" s="4016"/>
      <c r="F33" s="4016"/>
      <c r="G33" s="4016"/>
      <c r="H33" s="4016"/>
      <c r="I33" s="4016"/>
      <c r="J33" s="4016"/>
    </row>
    <row r="34" spans="1:10" ht="3.75" hidden="1" customHeight="1">
      <c r="A34" s="4016"/>
      <c r="B34" s="4016"/>
      <c r="C34" s="4016"/>
      <c r="D34" s="4016"/>
      <c r="E34" s="4016"/>
      <c r="F34" s="4016"/>
      <c r="G34" s="4016"/>
      <c r="H34" s="4016"/>
      <c r="I34" s="4016"/>
      <c r="J34" s="4016"/>
    </row>
    <row r="35" spans="1:10" ht="5.25" customHeight="1">
      <c r="A35" s="1523"/>
      <c r="B35" s="1523"/>
      <c r="C35" s="1523"/>
      <c r="D35" s="1523"/>
      <c r="E35" s="1523"/>
      <c r="F35" s="1523"/>
      <c r="G35" s="1523"/>
      <c r="H35" s="1523"/>
      <c r="I35" s="1523"/>
      <c r="J35" s="1523"/>
    </row>
    <row r="36" spans="1:10" ht="19.5" customHeight="1">
      <c r="A36" s="4014" t="s">
        <v>2841</v>
      </c>
      <c r="B36" s="4014"/>
      <c r="C36" s="4014"/>
      <c r="D36" s="1521"/>
      <c r="E36" s="1521"/>
      <c r="F36" s="1521"/>
      <c r="G36" s="1521"/>
      <c r="H36" s="1521"/>
      <c r="I36" s="1521"/>
      <c r="J36" s="1521"/>
    </row>
    <row r="37" spans="1:10" ht="15" customHeight="1">
      <c r="A37" s="4007"/>
      <c r="B37" s="4007"/>
      <c r="C37" s="4007"/>
      <c r="D37" s="4007"/>
      <c r="E37" s="4007"/>
      <c r="F37" s="4007"/>
      <c r="G37" s="4007"/>
      <c r="H37" s="4007"/>
      <c r="I37" s="4007"/>
      <c r="J37" s="4007"/>
    </row>
    <row r="38" spans="1:10" ht="33.75" customHeight="1">
      <c r="A38" s="4007"/>
      <c r="B38" s="4007"/>
      <c r="C38" s="4007"/>
      <c r="D38" s="4007"/>
      <c r="E38" s="4007"/>
      <c r="F38" s="4007"/>
      <c r="G38" s="4007"/>
      <c r="H38" s="4007"/>
      <c r="I38" s="4007"/>
      <c r="J38" s="4007"/>
    </row>
    <row r="39" spans="1:10" ht="2.25" customHeight="1">
      <c r="A39" s="1521"/>
      <c r="B39" s="1521"/>
      <c r="C39" s="1521"/>
      <c r="D39" s="1521"/>
      <c r="E39" s="1521"/>
      <c r="F39" s="1521"/>
      <c r="G39" s="1521"/>
      <c r="H39" s="1521"/>
      <c r="I39" s="1521"/>
      <c r="J39" s="1521"/>
    </row>
    <row r="40" spans="1:10">
      <c r="A40" s="625" t="s">
        <v>2842</v>
      </c>
    </row>
    <row r="41" spans="1:10" ht="135" customHeight="1">
      <c r="A41" s="4015" t="s">
        <v>4471</v>
      </c>
      <c r="B41" s="4015"/>
      <c r="C41" s="4015"/>
      <c r="D41" s="4015"/>
      <c r="E41" s="4015"/>
      <c r="F41" s="4015"/>
      <c r="G41" s="4015"/>
      <c r="H41" s="4015"/>
      <c r="I41" s="4015"/>
      <c r="J41" s="4015"/>
    </row>
    <row r="42" spans="1:10" ht="6" customHeight="1">
      <c r="A42" s="1522"/>
      <c r="B42" s="1522"/>
      <c r="C42" s="1522"/>
      <c r="D42" s="1522"/>
      <c r="E42" s="1522"/>
      <c r="F42" s="1522"/>
      <c r="G42" s="1522"/>
      <c r="H42" s="1522"/>
      <c r="I42" s="1522"/>
      <c r="J42" s="1522"/>
    </row>
    <row r="43" spans="1:10">
      <c r="A43" s="625" t="s">
        <v>2843</v>
      </c>
    </row>
    <row r="44" spans="1:10" ht="33" customHeight="1">
      <c r="A44" s="4007" t="s">
        <v>3883</v>
      </c>
      <c r="B44" s="4009"/>
      <c r="C44" s="4009"/>
      <c r="D44" s="4009"/>
      <c r="E44" s="4009"/>
      <c r="F44" s="4009"/>
      <c r="G44" s="4009"/>
      <c r="H44" s="4009"/>
      <c r="I44" s="4009"/>
      <c r="J44" s="4007"/>
    </row>
    <row r="45" spans="1:10" ht="3" customHeight="1"/>
    <row r="46" spans="1:10" ht="72.75" customHeight="1">
      <c r="A46" s="4007" t="s">
        <v>3884</v>
      </c>
      <c r="B46" s="4007"/>
      <c r="C46" s="4007"/>
      <c r="D46" s="4007"/>
      <c r="E46" s="4007"/>
      <c r="F46" s="4007"/>
      <c r="G46" s="4007"/>
      <c r="H46" s="4007"/>
      <c r="I46" s="4007"/>
      <c r="J46" s="4007"/>
    </row>
    <row r="47" spans="1:10" ht="3" customHeight="1">
      <c r="A47" s="1521"/>
      <c r="B47" s="1521"/>
      <c r="C47" s="1521"/>
      <c r="D47" s="1521"/>
      <c r="E47" s="1521"/>
      <c r="F47" s="1521"/>
      <c r="G47" s="1521"/>
      <c r="H47" s="1521"/>
      <c r="I47" s="1521"/>
      <c r="J47" s="1521"/>
    </row>
    <row r="48" spans="1:10" ht="56.25" customHeight="1">
      <c r="A48" s="4007" t="s">
        <v>3885</v>
      </c>
      <c r="B48" s="4007"/>
      <c r="C48" s="4007"/>
      <c r="D48" s="4007"/>
      <c r="E48" s="4007"/>
      <c r="F48" s="4007"/>
      <c r="G48" s="4007"/>
      <c r="H48" s="4007"/>
      <c r="I48" s="4007"/>
      <c r="J48" s="4007"/>
    </row>
    <row r="49" spans="1:17" ht="3" customHeight="1">
      <c r="A49" s="1521"/>
      <c r="B49" s="1521"/>
      <c r="C49" s="1521"/>
      <c r="D49" s="1521"/>
      <c r="E49" s="1521"/>
      <c r="F49" s="1521"/>
      <c r="G49" s="1521"/>
      <c r="H49" s="1521"/>
      <c r="I49" s="1521"/>
      <c r="J49" s="1521"/>
    </row>
    <row r="50" spans="1:17" ht="49.5" customHeight="1">
      <c r="A50" s="4007" t="s">
        <v>3886</v>
      </c>
      <c r="B50" s="4007"/>
      <c r="C50" s="4007"/>
      <c r="D50" s="4007"/>
      <c r="E50" s="4007"/>
      <c r="F50" s="4007"/>
      <c r="G50" s="4007"/>
      <c r="H50" s="4007"/>
      <c r="I50" s="4007"/>
      <c r="J50" s="1521"/>
    </row>
    <row r="51" spans="1:17" ht="3" customHeight="1">
      <c r="A51" s="1521"/>
      <c r="B51" s="1521"/>
      <c r="C51" s="1521"/>
      <c r="D51" s="1521"/>
      <c r="E51" s="1521"/>
      <c r="F51" s="1521"/>
      <c r="G51" s="1521"/>
      <c r="H51" s="1521"/>
      <c r="I51" s="1521"/>
      <c r="J51" s="1521"/>
    </row>
    <row r="52" spans="1:17" ht="54.75" customHeight="1">
      <c r="A52" s="4029" t="s">
        <v>3208</v>
      </c>
      <c r="B52" s="4019"/>
      <c r="C52" s="4019"/>
      <c r="D52" s="4019"/>
      <c r="E52" s="4019"/>
      <c r="F52" s="4019"/>
      <c r="G52" s="4019"/>
      <c r="H52" s="4019"/>
      <c r="I52" s="4019"/>
      <c r="J52" s="1521"/>
    </row>
    <row r="53" spans="1:17" ht="3" customHeight="1">
      <c r="A53" s="1521"/>
      <c r="B53" s="1521"/>
      <c r="C53" s="1521"/>
      <c r="D53" s="1521"/>
      <c r="E53" s="1521"/>
      <c r="F53" s="1521"/>
      <c r="G53" s="1521"/>
      <c r="H53" s="1521"/>
      <c r="I53" s="1521"/>
      <c r="J53" s="1521"/>
    </row>
    <row r="54" spans="1:17" ht="62.25" customHeight="1">
      <c r="A54" s="4019" t="s">
        <v>3887</v>
      </c>
      <c r="B54" s="4019"/>
      <c r="C54" s="4019"/>
      <c r="D54" s="4019"/>
      <c r="E54" s="4019"/>
      <c r="F54" s="4019"/>
      <c r="G54" s="4019"/>
      <c r="H54" s="4019"/>
      <c r="I54" s="4019"/>
      <c r="J54" s="4019"/>
    </row>
    <row r="55" spans="1:17" ht="3" customHeight="1"/>
    <row r="56" spans="1:17" ht="73.5" customHeight="1">
      <c r="A56" s="4007" t="s">
        <v>3888</v>
      </c>
      <c r="B56" s="4007"/>
      <c r="C56" s="4007"/>
      <c r="D56" s="4007"/>
      <c r="E56" s="4007"/>
      <c r="F56" s="4007"/>
      <c r="G56" s="4007"/>
      <c r="H56" s="4007"/>
      <c r="I56" s="4007"/>
      <c r="J56" s="4007"/>
    </row>
    <row r="57" spans="1:17" ht="6" customHeight="1">
      <c r="A57" s="1521" t="s">
        <v>238</v>
      </c>
      <c r="B57" s="1521"/>
      <c r="C57" s="1521"/>
      <c r="D57" s="1521"/>
      <c r="E57" s="1521"/>
      <c r="F57" s="1521"/>
      <c r="G57" s="1521"/>
      <c r="H57" s="1521"/>
      <c r="I57" s="1521"/>
      <c r="J57" s="1521"/>
    </row>
    <row r="58" spans="1:17">
      <c r="A58" s="625" t="s">
        <v>2846</v>
      </c>
      <c r="L58" s="626" t="s">
        <v>3367</v>
      </c>
    </row>
    <row r="59" spans="1:17" ht="73.5" customHeight="1">
      <c r="A59" s="4013" t="s">
        <v>2847</v>
      </c>
      <c r="B59" s="4013"/>
      <c r="C59" s="4013"/>
      <c r="D59" s="4013"/>
      <c r="E59" s="4013"/>
      <c r="F59" s="4013"/>
      <c r="G59" s="4013"/>
      <c r="H59" s="4013"/>
      <c r="I59" s="4013"/>
      <c r="J59" s="4013"/>
      <c r="L59" s="627">
        <f>'Closing term sheet'!C133</f>
        <v>725000</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4019" t="s">
        <v>3280</v>
      </c>
      <c r="B61" s="4019"/>
      <c r="C61" s="4019"/>
      <c r="D61" s="4019"/>
      <c r="E61" s="4019"/>
      <c r="F61" s="4019"/>
      <c r="G61" s="4019"/>
      <c r="H61" s="4019"/>
      <c r="I61" s="4019"/>
      <c r="J61" s="632"/>
      <c r="L61" s="633">
        <f>'Part III-Sources of Funds'!I49</f>
        <v>7048726</v>
      </c>
      <c r="M61" s="634">
        <f>'Part IV-A-Uses of Funds'!$J$184</f>
        <v>800991</v>
      </c>
      <c r="N61" s="635">
        <f>'Part IV-A-Uses of Funds'!N175</f>
        <v>0.88</v>
      </c>
      <c r="O61" s="633">
        <f>'Part III-Sources of Funds'!I50</f>
        <v>4325349</v>
      </c>
      <c r="P61" s="634">
        <f>M61</f>
        <v>800991</v>
      </c>
      <c r="Q61" s="635">
        <f>'Part IV-A-Uses of Funds'!Q175</f>
        <v>0.54</v>
      </c>
    </row>
    <row r="62" spans="1:17" ht="18.75" customHeight="1">
      <c r="A62" s="636" t="s">
        <v>2848</v>
      </c>
    </row>
    <row r="63" spans="1:17" ht="177" customHeight="1">
      <c r="A63" s="4019" t="s">
        <v>3889</v>
      </c>
      <c r="B63" s="4019"/>
      <c r="C63" s="4019"/>
      <c r="D63" s="4019"/>
      <c r="E63" s="4019"/>
      <c r="F63" s="4019"/>
      <c r="G63" s="4019"/>
      <c r="H63" s="4019"/>
      <c r="I63" s="4019"/>
      <c r="J63" s="4019"/>
      <c r="L63" s="637">
        <f>'Part VII-Pro Forma'!K71</f>
        <v>-4.7912431454385439E-8</v>
      </c>
      <c r="M63" s="4017" t="s">
        <v>3374</v>
      </c>
      <c r="N63" s="4018"/>
    </row>
    <row r="64" spans="1:17" ht="6" customHeight="1">
      <c r="A64" s="625"/>
    </row>
    <row r="65" spans="1:10">
      <c r="A65" s="625" t="s">
        <v>2849</v>
      </c>
    </row>
    <row r="66" spans="1:10" ht="72.599999999999994" customHeight="1">
      <c r="A66" s="4019" t="s">
        <v>2850</v>
      </c>
      <c r="B66" s="4019"/>
      <c r="C66" s="4019"/>
      <c r="D66" s="4019"/>
      <c r="E66" s="4019"/>
      <c r="F66" s="4019"/>
      <c r="G66" s="4019"/>
      <c r="H66" s="4019"/>
      <c r="I66" s="4019"/>
      <c r="J66" s="4019"/>
    </row>
    <row r="67" spans="1:10" ht="36" customHeight="1">
      <c r="A67" s="4019" t="s">
        <v>2851</v>
      </c>
      <c r="B67" s="4019"/>
      <c r="C67" s="4019"/>
      <c r="D67" s="4019"/>
      <c r="E67" s="4019"/>
      <c r="F67" s="4019"/>
      <c r="G67" s="4019"/>
      <c r="H67" s="4019"/>
      <c r="I67" s="4019"/>
      <c r="J67" s="4019"/>
    </row>
    <row r="68" spans="1:10" ht="6" customHeight="1">
      <c r="A68" s="625"/>
    </row>
    <row r="69" spans="1:10">
      <c r="A69" s="625" t="s">
        <v>2852</v>
      </c>
    </row>
    <row r="70" spans="1:10" ht="105.75" customHeight="1">
      <c r="A70" s="4007" t="s">
        <v>2853</v>
      </c>
      <c r="B70" s="4007"/>
      <c r="C70" s="4007"/>
      <c r="D70" s="4007"/>
      <c r="E70" s="4007"/>
      <c r="F70" s="4007"/>
      <c r="G70" s="4007"/>
      <c r="H70" s="4007"/>
      <c r="I70" s="4007"/>
      <c r="J70" s="4007"/>
    </row>
    <row r="71" spans="1:10" ht="6" customHeight="1">
      <c r="A71" s="625"/>
    </row>
    <row r="72" spans="1:10">
      <c r="A72" s="625" t="s">
        <v>2854</v>
      </c>
    </row>
    <row r="73" spans="1:10" ht="66" customHeight="1">
      <c r="A73" s="4007" t="s">
        <v>2855</v>
      </c>
      <c r="B73" s="4007"/>
      <c r="C73" s="4007"/>
      <c r="D73" s="4007"/>
      <c r="E73" s="4007"/>
      <c r="F73" s="4007"/>
      <c r="G73" s="4007"/>
      <c r="H73" s="4007"/>
      <c r="I73" s="4007"/>
      <c r="J73" s="4007"/>
    </row>
    <row r="74" spans="1:10" s="1523" customFormat="1" ht="6" customHeight="1">
      <c r="A74" s="4007"/>
      <c r="B74" s="4007"/>
      <c r="C74" s="4007"/>
      <c r="D74" s="4007"/>
      <c r="E74" s="4007"/>
      <c r="F74" s="4007"/>
      <c r="G74" s="4007"/>
      <c r="H74" s="4007"/>
      <c r="I74" s="4007"/>
      <c r="J74" s="4007"/>
    </row>
    <row r="75" spans="1:10" ht="16.5" customHeight="1">
      <c r="A75" s="1525" t="s">
        <v>2856</v>
      </c>
      <c r="B75" s="624"/>
      <c r="C75" s="624"/>
      <c r="D75" s="1527"/>
      <c r="E75" s="624"/>
      <c r="F75" s="624"/>
      <c r="G75" s="624"/>
      <c r="H75" s="624"/>
      <c r="I75" s="624"/>
      <c r="J75" s="638"/>
    </row>
    <row r="76" spans="1:10" s="1523" customFormat="1" ht="63" customHeight="1">
      <c r="A76" s="4007" t="s">
        <v>4097</v>
      </c>
      <c r="B76" s="4007"/>
      <c r="C76" s="4007"/>
      <c r="D76" s="4007"/>
      <c r="E76" s="4007"/>
      <c r="F76" s="4007"/>
      <c r="G76" s="4007"/>
      <c r="H76" s="4007"/>
      <c r="I76" s="4007"/>
      <c r="J76" s="4007"/>
    </row>
    <row r="77" spans="1:10" s="1523" customFormat="1" ht="6" customHeight="1">
      <c r="A77" s="1521"/>
      <c r="B77" s="1521"/>
      <c r="C77" s="1521"/>
      <c r="D77" s="1521"/>
      <c r="E77" s="1521"/>
      <c r="F77" s="1521"/>
      <c r="G77" s="1521"/>
      <c r="H77" s="1521"/>
      <c r="I77" s="1521"/>
      <c r="J77" s="1521"/>
    </row>
    <row r="78" spans="1:10" ht="16.5" customHeight="1">
      <c r="A78" s="4021" t="s">
        <v>2857</v>
      </c>
      <c r="B78" s="4022"/>
      <c r="C78" s="4022"/>
      <c r="D78" s="624"/>
      <c r="E78" s="624"/>
      <c r="F78" s="624"/>
      <c r="G78" s="624"/>
      <c r="H78" s="624"/>
      <c r="I78" s="624"/>
      <c r="J78" s="638"/>
    </row>
    <row r="79" spans="1:10" ht="41.25" customHeight="1">
      <c r="A79" s="4019" t="s">
        <v>3890</v>
      </c>
      <c r="B79" s="4023"/>
      <c r="C79" s="4023"/>
      <c r="D79" s="4023"/>
      <c r="E79" s="4023"/>
      <c r="F79" s="4023"/>
      <c r="G79" s="4023"/>
      <c r="H79" s="4023"/>
      <c r="I79" s="4023"/>
      <c r="J79" s="4023"/>
    </row>
    <row r="80" spans="1:10" ht="6" customHeight="1">
      <c r="A80" s="639"/>
      <c r="B80" s="624"/>
      <c r="C80" s="624"/>
      <c r="D80" s="624"/>
      <c r="E80" s="624"/>
      <c r="F80" s="624"/>
      <c r="G80" s="624"/>
      <c r="H80" s="624"/>
      <c r="I80" s="624"/>
      <c r="J80" s="638"/>
    </row>
    <row r="81" spans="1:15">
      <c r="A81" s="625" t="s">
        <v>2858</v>
      </c>
    </row>
    <row r="82" spans="1:15" ht="124.2" customHeight="1">
      <c r="A82" s="4019" t="s">
        <v>2859</v>
      </c>
      <c r="B82" s="4019"/>
      <c r="C82" s="4019"/>
      <c r="D82" s="4019"/>
      <c r="E82" s="4019"/>
      <c r="F82" s="4019"/>
      <c r="G82" s="4019"/>
      <c r="H82" s="4019"/>
      <c r="I82" s="4019"/>
      <c r="J82" s="4019"/>
      <c r="L82" s="4012" t="s">
        <v>2860</v>
      </c>
      <c r="M82" s="4012"/>
      <c r="N82" s="4012"/>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4019" t="s">
        <v>2862</v>
      </c>
      <c r="B85" s="4019"/>
      <c r="C85" s="4019"/>
      <c r="D85" s="4019"/>
      <c r="E85" s="4019"/>
      <c r="F85" s="4019"/>
      <c r="G85" s="4019"/>
      <c r="H85" s="4019"/>
      <c r="I85" s="4019"/>
      <c r="J85" s="4019"/>
      <c r="L85" s="4012" t="s">
        <v>2863</v>
      </c>
      <c r="M85" s="4012"/>
      <c r="N85" s="640" t="e">
        <f>'After-Tax Analysis'!G66</f>
        <v>#VALUE!</v>
      </c>
      <c r="O85" s="641" t="s">
        <v>2864</v>
      </c>
    </row>
    <row r="86" spans="1:15" ht="6" customHeight="1">
      <c r="A86" s="625"/>
    </row>
    <row r="87" spans="1:15">
      <c r="A87" s="625" t="s">
        <v>2865</v>
      </c>
    </row>
    <row r="88" spans="1:15" ht="118.5" customHeight="1">
      <c r="A88" s="4007" t="s">
        <v>2866</v>
      </c>
      <c r="B88" s="4007"/>
      <c r="C88" s="4007"/>
      <c r="D88" s="4007"/>
      <c r="E88" s="4007"/>
      <c r="F88" s="4007"/>
      <c r="G88" s="4007"/>
      <c r="H88" s="4007"/>
      <c r="I88" s="4007"/>
      <c r="J88" s="4007"/>
    </row>
    <row r="89" spans="1:15" ht="20.25" customHeight="1">
      <c r="A89" s="4009" t="s">
        <v>2867</v>
      </c>
      <c r="B89" s="4009"/>
      <c r="C89" s="4009"/>
      <c r="D89" s="4007"/>
      <c r="E89" s="1521"/>
      <c r="F89" s="1521"/>
      <c r="G89" s="1521"/>
      <c r="H89" s="1521"/>
      <c r="I89" s="1521"/>
      <c r="J89" s="1521"/>
    </row>
    <row r="90" spans="1:15" ht="109.5" customHeight="1">
      <c r="A90" s="4027" t="s">
        <v>2868</v>
      </c>
      <c r="B90" s="4028"/>
      <c r="C90" s="4028"/>
      <c r="D90" s="4028"/>
      <c r="E90" s="4028"/>
      <c r="F90" s="4028"/>
      <c r="G90" s="4028"/>
      <c r="H90" s="4028"/>
      <c r="I90" s="4028"/>
      <c r="J90" s="4028"/>
    </row>
    <row r="91" spans="1:15" ht="11.25" customHeight="1">
      <c r="A91" s="625"/>
    </row>
    <row r="92" spans="1:15">
      <c r="A92" s="625" t="s">
        <v>2869</v>
      </c>
    </row>
    <row r="93" spans="1:15" ht="110.4" customHeight="1">
      <c r="A93" s="4013" t="s">
        <v>2870</v>
      </c>
      <c r="B93" s="4013"/>
      <c r="C93" s="4013"/>
      <c r="D93" s="4013"/>
      <c r="E93" s="4013"/>
      <c r="F93" s="4013"/>
      <c r="G93" s="4013"/>
      <c r="H93" s="4013"/>
      <c r="I93" s="4013"/>
      <c r="J93" s="4013"/>
      <c r="L93" s="1172">
        <f>'Part VII-Pro Forma'!K71</f>
        <v>-4.7912431454385439E-8</v>
      </c>
      <c r="M93" s="4020" t="s">
        <v>2871</v>
      </c>
      <c r="N93" s="4020"/>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4009" t="s">
        <v>2872</v>
      </c>
      <c r="B97" s="4009"/>
      <c r="C97" s="4009"/>
      <c r="D97" s="1521"/>
      <c r="E97" s="1521"/>
      <c r="F97" s="1521"/>
      <c r="G97" s="1521"/>
      <c r="H97" s="1521"/>
      <c r="I97" s="1521"/>
      <c r="J97" s="638"/>
    </row>
    <row r="98" spans="1:10" ht="37.5" customHeight="1">
      <c r="A98" s="4019" t="s">
        <v>2873</v>
      </c>
      <c r="B98" s="4019"/>
      <c r="C98" s="4019"/>
      <c r="D98" s="4019"/>
      <c r="E98" s="4019"/>
      <c r="F98" s="4019"/>
      <c r="G98" s="4019"/>
      <c r="H98" s="4019"/>
      <c r="I98" s="4019"/>
      <c r="J98" s="4019"/>
    </row>
    <row r="99" spans="1:10" ht="6" customHeight="1">
      <c r="A99" s="625"/>
    </row>
    <row r="100" spans="1:10">
      <c r="A100" s="625" t="s">
        <v>2874</v>
      </c>
    </row>
    <row r="101" spans="1:10" ht="43.5" customHeight="1">
      <c r="A101" s="4007" t="s">
        <v>2875</v>
      </c>
      <c r="B101" s="4007"/>
      <c r="C101" s="4007"/>
      <c r="D101" s="4007"/>
      <c r="E101" s="4007"/>
      <c r="F101" s="4007"/>
      <c r="G101" s="4007"/>
      <c r="H101" s="4007"/>
      <c r="I101" s="4007"/>
      <c r="J101" s="4007"/>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4025" t="s">
        <v>6836</v>
      </c>
      <c r="B113" s="4025"/>
      <c r="C113" s="4025"/>
      <c r="D113" s="4025"/>
      <c r="E113" s="4026"/>
      <c r="F113" s="2022" t="s">
        <v>6837</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2020-091  The Pointe at St. Martin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403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0"/>
      <c r="J7" s="4030"/>
      <c r="K7" s="4030"/>
      <c r="L7" s="610"/>
      <c r="M7" s="610"/>
    </row>
    <row r="8" spans="1:14" ht="15.6">
      <c r="A8" s="613" t="s">
        <v>2884</v>
      </c>
      <c r="B8" s="613"/>
      <c r="C8" s="4030" t="str">
        <f>'Part I-Project Information'!F34</f>
        <v>The Pointe at St. Martin</v>
      </c>
      <c r="D8" s="4030"/>
      <c r="E8" s="1233" t="str">
        <f>'Part I-Project Information'!O6</f>
        <v>2020-091</v>
      </c>
      <c r="F8" s="649" t="s">
        <v>2885</v>
      </c>
      <c r="G8" s="648"/>
      <c r="H8" s="4030" t="str">
        <f>CONCATENATE('Part I-Project Information'!F38,", ",'Part I-Project Information'!J39)</f>
        <v>Hartwell, Hart</v>
      </c>
      <c r="I8" s="4030"/>
      <c r="J8" s="4030"/>
      <c r="K8" s="4030"/>
      <c r="L8" s="610"/>
      <c r="M8" s="650"/>
    </row>
    <row r="9" spans="1:14" ht="15.6">
      <c r="A9" s="613" t="s">
        <v>2887</v>
      </c>
      <c r="B9" s="613"/>
      <c r="C9" s="4030" t="s">
        <v>1727</v>
      </c>
      <c r="D9" s="4030"/>
      <c r="E9" s="648"/>
      <c r="F9" s="649" t="s">
        <v>2888</v>
      </c>
      <c r="G9" s="648"/>
      <c r="H9" s="4030" t="str">
        <f>'Part II-Development Team'!H5</f>
        <v>The Pointe at St. Martin</v>
      </c>
      <c r="I9" s="4030"/>
      <c r="J9" s="4030"/>
      <c r="K9" s="4030"/>
      <c r="L9" s="4030"/>
      <c r="M9" s="650"/>
    </row>
    <row r="10" spans="1:14" ht="15.6">
      <c r="A10" s="613" t="s">
        <v>2890</v>
      </c>
      <c r="B10" s="610"/>
      <c r="C10" s="1233" t="str">
        <f>'Part II-Development Team'!H14</f>
        <v>NAHPA 2018 GA, Inc.</v>
      </c>
      <c r="D10" s="648"/>
      <c r="E10" s="648"/>
      <c r="F10" s="649" t="s">
        <v>3429</v>
      </c>
      <c r="G10" s="648"/>
      <c r="H10" s="4030" t="str">
        <f>'Part II-Development Team'!H33</f>
        <v>To Be Determined - 42 Equity Partners, LLC</v>
      </c>
      <c r="I10" s="4030"/>
      <c r="J10" s="4030"/>
      <c r="K10" s="4030" t="str">
        <f>'Part II-Development Team'!H39</f>
        <v>To Be Determined - Monarch Private Capital, LLC</v>
      </c>
      <c r="L10" s="4030"/>
    </row>
    <row r="11" spans="1:14" ht="15.6">
      <c r="A11" s="613" t="s">
        <v>2891</v>
      </c>
      <c r="B11" s="610"/>
      <c r="C11" s="1233" t="str">
        <f>IF('Part II-Development Team'!H20="","",'Part II-Development Team'!H20)</f>
        <v/>
      </c>
      <c r="D11" s="648"/>
      <c r="E11" s="1165" t="str">
        <f>IF('Part II-Development Team'!H26="","",'Part II-Development Team'!H26)</f>
        <v/>
      </c>
      <c r="F11" s="649" t="s">
        <v>634</v>
      </c>
      <c r="G11" s="648"/>
      <c r="H11" s="4030" t="str">
        <f>'Part II-Development Team'!H54</f>
        <v>Vantage Development, LLC</v>
      </c>
      <c r="I11" s="4030"/>
      <c r="J11" s="4030"/>
      <c r="K11" s="4030" t="str">
        <f>'Part II-Development Team'!H60</f>
        <v>NAHPA Development, LLC</v>
      </c>
      <c r="L11" s="4030"/>
      <c r="M11" s="4030">
        <f>'Part II-Development Team'!H66</f>
        <v>0</v>
      </c>
      <c r="N11" s="4030"/>
    </row>
    <row r="12" spans="1:14" ht="15.6">
      <c r="A12" s="613" t="s">
        <v>2892</v>
      </c>
      <c r="B12" s="610"/>
      <c r="C12" s="1233" t="str">
        <f>'Part II-Development Team'!H86</f>
        <v>Fyffe Construction Company, Inc.</v>
      </c>
      <c r="D12" s="648"/>
      <c r="E12" s="648"/>
      <c r="F12" s="649" t="s">
        <v>2893</v>
      </c>
      <c r="G12" s="648"/>
      <c r="H12" s="4030" t="str">
        <f>'Part II-Development Team'!H92</f>
        <v>Vantage Management, LLC</v>
      </c>
      <c r="I12" s="4030"/>
      <c r="J12" s="4030"/>
      <c r="K12" s="4030"/>
      <c r="L12" s="610"/>
      <c r="M12" s="610"/>
    </row>
    <row r="13" spans="1:14" ht="15.6">
      <c r="A13" s="613" t="s">
        <v>2894</v>
      </c>
      <c r="B13" s="649"/>
      <c r="C13" s="609">
        <f>'Part VI-Revenues &amp; Expenses'!$P$67</f>
        <v>60</v>
      </c>
      <c r="E13" s="1166">
        <f>'Part VI-Revenues &amp; Expenses'!$P$63</f>
        <v>60</v>
      </c>
      <c r="F13" s="649" t="s">
        <v>3882</v>
      </c>
      <c r="G13" s="648"/>
      <c r="H13" s="1234">
        <f>'Part I-Project Information'!H76</f>
        <v>5</v>
      </c>
      <c r="I13" s="1167"/>
      <c r="J13" s="1167"/>
      <c r="K13" s="1234">
        <f>'Part I-Project Information'!P75</f>
        <v>67935</v>
      </c>
      <c r="L13" s="610"/>
      <c r="M13" s="610"/>
    </row>
    <row r="14" spans="1:14" ht="15.6">
      <c r="A14" s="613" t="s">
        <v>3201</v>
      </c>
      <c r="B14" s="610"/>
      <c r="C14" s="1234" t="str">
        <f>'Part I-Project Information'!H82</f>
        <v>Family</v>
      </c>
      <c r="D14" s="4030" t="str">
        <f>IF('Part I-Project Information'!N74=0,"",'Part I-Project Information'!N74)</f>
        <v/>
      </c>
      <c r="E14" s="4030"/>
      <c r="F14" s="649" t="s">
        <v>2895</v>
      </c>
      <c r="G14" s="648"/>
      <c r="H14" s="4031" t="s">
        <v>3376</v>
      </c>
      <c r="I14" s="4031"/>
      <c r="J14" s="4031"/>
      <c r="K14" s="4031" t="s">
        <v>3376</v>
      </c>
      <c r="L14" s="4031"/>
      <c r="M14" s="610"/>
    </row>
    <row r="15" spans="1:14" ht="15.6">
      <c r="A15" s="613" t="s">
        <v>2896</v>
      </c>
      <c r="B15" s="610"/>
      <c r="C15" s="651" t="s">
        <v>1727</v>
      </c>
      <c r="D15" s="648"/>
      <c r="E15" s="648"/>
      <c r="F15" s="649" t="s">
        <v>3202</v>
      </c>
      <c r="G15" s="648"/>
      <c r="H15" s="1233" t="str">
        <f>'Part I-Project Information'!K40</f>
        <v>Rural</v>
      </c>
      <c r="I15" s="648"/>
      <c r="J15" s="648"/>
      <c r="K15" s="648"/>
      <c r="L15" s="610"/>
      <c r="M15" s="610"/>
    </row>
    <row r="16" spans="1:14" ht="15.6">
      <c r="A16" s="613" t="s">
        <v>3405</v>
      </c>
      <c r="B16" s="610"/>
      <c r="C16" s="1233" t="str">
        <f>'Part I-Project Information'!H100</f>
        <v>Yes</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11974075</v>
      </c>
      <c r="D18" s="1212">
        <f>IF(C18=0,"",$C$29/C18)</f>
        <v>5.0108254708610057E-2</v>
      </c>
      <c r="E18" s="648" t="s">
        <v>3205</v>
      </c>
      <c r="F18" s="649" t="s">
        <v>3206</v>
      </c>
      <c r="G18" s="648"/>
      <c r="H18" s="4032">
        <f>'Part IV-A-Uses of Funds'!B44</f>
        <v>7981570</v>
      </c>
      <c r="I18" s="4032"/>
      <c r="J18" s="1211">
        <f>IF(H18=0,"",$C$29/H18)</f>
        <v>7.5173180213917806E-2</v>
      </c>
      <c r="K18" s="4030" t="s">
        <v>3207</v>
      </c>
      <c r="L18" s="4030"/>
      <c r="M18" s="610"/>
    </row>
    <row r="19" spans="1:13" ht="15.6">
      <c r="A19" s="613" t="s">
        <v>2897</v>
      </c>
      <c r="B19" s="610"/>
      <c r="C19" s="1235">
        <f>C18/C13</f>
        <v>199567.91666666666</v>
      </c>
      <c r="D19" s="648"/>
      <c r="E19" s="610"/>
      <c r="F19" s="613" t="s">
        <v>2897</v>
      </c>
      <c r="G19" s="610"/>
      <c r="H19" s="4033">
        <f>H18/C13</f>
        <v>133026.16666666666</v>
      </c>
      <c r="I19" s="4033"/>
      <c r="J19" s="610"/>
      <c r="K19" s="610"/>
      <c r="L19" s="610"/>
      <c r="M19" s="610"/>
    </row>
    <row r="20" spans="1:13" ht="15.6">
      <c r="A20" s="613" t="s">
        <v>2898</v>
      </c>
      <c r="B20" s="610"/>
      <c r="C20" s="1237">
        <f>C18/K13</f>
        <v>176.25781997497609</v>
      </c>
      <c r="D20" s="653"/>
      <c r="E20" s="654"/>
      <c r="F20" s="613" t="s">
        <v>2898</v>
      </c>
      <c r="G20" s="610"/>
      <c r="H20" s="4034">
        <f>H18/K13</f>
        <v>117.4883344373298</v>
      </c>
      <c r="I20" s="4033"/>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United Bank</v>
      </c>
      <c r="C25" s="660">
        <f>'Part III-Sources of Funds'!I38</f>
        <v>600000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600000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11374075</v>
      </c>
      <c r="D30" s="610"/>
      <c r="E30" s="610"/>
      <c r="F30" s="648"/>
      <c r="G30" s="610"/>
      <c r="H30" s="610"/>
      <c r="I30" s="610"/>
      <c r="K30" s="666"/>
      <c r="L30" s="648"/>
      <c r="M30" s="610"/>
    </row>
    <row r="31" spans="1:13" ht="15">
      <c r="A31" s="667" t="s">
        <v>2909</v>
      </c>
      <c r="B31" s="659">
        <f>'Part III-Sources of Funds'!E39</f>
        <v>0</v>
      </c>
      <c r="C31" s="660">
        <f>'Part III-Sources of Funds'!I39</f>
        <v>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600000</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5.0108254708610057E-2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7.5173180213917806E-2</v>
      </c>
      <c r="D40" s="610"/>
      <c r="E40" s="610"/>
      <c r="F40" s="613"/>
      <c r="G40" s="613" t="s">
        <v>2918</v>
      </c>
      <c r="H40" s="610"/>
      <c r="I40" s="610"/>
      <c r="K40" s="662">
        <f>C30/C18</f>
        <v>0.94989174529138998</v>
      </c>
      <c r="L40" s="610"/>
      <c r="M40" s="610"/>
    </row>
    <row r="46" spans="1:13" ht="15.6">
      <c r="A46" s="673" t="s">
        <v>2919</v>
      </c>
      <c r="B46" s="643"/>
      <c r="C46" s="643"/>
      <c r="D46" s="643"/>
      <c r="E46" s="643"/>
      <c r="F46" s="643"/>
      <c r="G46" s="643"/>
      <c r="H46" s="643"/>
      <c r="I46" s="643"/>
      <c r="J46" s="643"/>
      <c r="K46" s="643"/>
      <c r="L46" s="643"/>
      <c r="M46" s="610"/>
    </row>
    <row r="47" spans="1:13" ht="15.6">
      <c r="A47" s="673" t="str">
        <f>C8</f>
        <v>The Pointe at St. Martin</v>
      </c>
      <c r="B47" s="643"/>
      <c r="C47" s="643"/>
      <c r="D47" s="643"/>
      <c r="E47" s="643"/>
      <c r="F47" s="643"/>
      <c r="G47" s="643"/>
      <c r="H47" s="643"/>
      <c r="I47" s="643"/>
      <c r="J47" s="643"/>
      <c r="K47" s="643"/>
      <c r="L47" s="643"/>
      <c r="M47" s="610"/>
    </row>
    <row r="50" spans="1:14" s="610" customFormat="1" ht="15.6">
      <c r="A50" s="613" t="s">
        <v>2920</v>
      </c>
      <c r="C50" s="674" t="s">
        <v>2921</v>
      </c>
      <c r="E50" s="675" t="s">
        <v>3377</v>
      </c>
      <c r="F50" s="676">
        <v>0.1</v>
      </c>
      <c r="G50" s="675" t="s">
        <v>3378</v>
      </c>
      <c r="H50" s="676">
        <v>0.05</v>
      </c>
      <c r="I50" s="675" t="s">
        <v>3379</v>
      </c>
      <c r="J50" s="676">
        <v>0.03</v>
      </c>
      <c r="K50" s="4035" t="s">
        <v>2922</v>
      </c>
      <c r="L50" s="4036"/>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362592</v>
      </c>
      <c r="D52" s="679"/>
      <c r="E52" s="679">
        <f>$C$52</f>
        <v>362592</v>
      </c>
      <c r="F52" s="679"/>
      <c r="G52" s="679">
        <f>$C$52</f>
        <v>362592</v>
      </c>
      <c r="H52" s="679"/>
      <c r="I52" s="679">
        <f>$C$52</f>
        <v>362592</v>
      </c>
      <c r="J52" s="679"/>
      <c r="K52" s="679">
        <f>$C$52</f>
        <v>362592</v>
      </c>
      <c r="L52" s="680"/>
      <c r="M52" s="27"/>
      <c r="N52" s="27"/>
    </row>
    <row r="53" spans="1:14" s="610" customFormat="1" ht="18.75" customHeight="1">
      <c r="B53" s="678" t="s">
        <v>2926</v>
      </c>
      <c r="C53" s="679">
        <f>'Part VII-Pro Forma'!B15</f>
        <v>7251.84</v>
      </c>
      <c r="D53" s="679"/>
      <c r="E53" s="679">
        <f>$C$53</f>
        <v>7251.84</v>
      </c>
      <c r="F53" s="679"/>
      <c r="G53" s="679">
        <f>$C$53</f>
        <v>7251.84</v>
      </c>
      <c r="H53" s="679"/>
      <c r="I53" s="679">
        <f>$C$53</f>
        <v>7251.84</v>
      </c>
      <c r="J53" s="679"/>
      <c r="K53" s="679">
        <f>$C$53</f>
        <v>7251.84</v>
      </c>
      <c r="L53" s="680"/>
      <c r="M53" s="27"/>
      <c r="N53" s="27"/>
    </row>
    <row r="54" spans="1:14" s="610" customFormat="1" ht="18.75" customHeight="1">
      <c r="B54" s="678" t="s">
        <v>2924</v>
      </c>
      <c r="C54" s="679">
        <f>'Part VII-Pro Forma'!B16</f>
        <v>-25889.068800000005</v>
      </c>
      <c r="D54" s="679"/>
      <c r="E54" s="679">
        <f>-($C$52+E53)*F50</f>
        <v>-36984.384000000005</v>
      </c>
      <c r="F54" s="681"/>
      <c r="G54" s="679">
        <f>-($C$52+G53)*0.07</f>
        <v>-25889.068800000005</v>
      </c>
      <c r="H54" s="679"/>
      <c r="I54" s="679">
        <f>-($C$52+I53)*0.07</f>
        <v>-25889.068800000005</v>
      </c>
      <c r="J54" s="679"/>
      <c r="K54" s="679">
        <f>-($C$52+K53)*L54</f>
        <v>-36984.384000000005</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343954.77120000002</v>
      </c>
      <c r="D56" s="679"/>
      <c r="E56" s="685">
        <f>SUM(E52:E55)</f>
        <v>332859.45600000001</v>
      </c>
      <c r="F56" s="679"/>
      <c r="G56" s="685">
        <f>SUM(G52:G55)</f>
        <v>343954.77120000002</v>
      </c>
      <c r="H56" s="679"/>
      <c r="I56" s="685">
        <f>SUM(I52:I55)</f>
        <v>343954.77120000002</v>
      </c>
      <c r="J56" s="679"/>
      <c r="K56" s="685">
        <f>SUM(K52:K55)</f>
        <v>332859.45600000001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83084</v>
      </c>
      <c r="D58" s="679"/>
      <c r="E58" s="679">
        <f>$C$58</f>
        <v>83084</v>
      </c>
      <c r="F58" s="679"/>
      <c r="G58" s="679">
        <f>$C$58</f>
        <v>83084</v>
      </c>
      <c r="H58" s="679"/>
      <c r="I58" s="679">
        <f>$C$58</f>
        <v>83084</v>
      </c>
      <c r="J58" s="679"/>
      <c r="K58" s="679">
        <f>$C$58</f>
        <v>83084</v>
      </c>
      <c r="L58" s="680"/>
      <c r="M58" s="27"/>
      <c r="N58" s="27"/>
    </row>
    <row r="59" spans="1:14" s="610" customFormat="1" ht="18.75" customHeight="1">
      <c r="B59" s="678" t="s">
        <v>2929</v>
      </c>
      <c r="C59" s="679">
        <f>+'Part VI-Revenues &amp; Expenses'!F246</f>
        <v>40496</v>
      </c>
      <c r="D59" s="679"/>
      <c r="E59" s="679">
        <f>$C$59</f>
        <v>40496</v>
      </c>
      <c r="F59" s="679"/>
      <c r="G59" s="679">
        <f>$C$59</f>
        <v>40496</v>
      </c>
      <c r="H59" s="679"/>
      <c r="I59" s="679">
        <f>$C$59</f>
        <v>40496</v>
      </c>
      <c r="J59" s="679"/>
      <c r="K59" s="679">
        <f>$C$59*(1+$L$59)</f>
        <v>42115.840000000004</v>
      </c>
      <c r="L59" s="687">
        <v>0.04</v>
      </c>
      <c r="M59" s="27"/>
      <c r="N59" s="27"/>
    </row>
    <row r="60" spans="1:14" s="610" customFormat="1" ht="18.75" customHeight="1">
      <c r="B60" s="678" t="s">
        <v>1348</v>
      </c>
      <c r="C60" s="679">
        <f>+'Part VI-Revenues &amp; Expenses'!L239</f>
        <v>40989</v>
      </c>
      <c r="D60" s="679"/>
      <c r="E60" s="679">
        <f>$C$60</f>
        <v>40989</v>
      </c>
      <c r="F60" s="679"/>
      <c r="G60" s="679">
        <f>$C$60</f>
        <v>40989</v>
      </c>
      <c r="H60" s="679"/>
      <c r="I60" s="679">
        <f>$C$60*(1+$J$50)</f>
        <v>42218.67</v>
      </c>
      <c r="J60" s="681"/>
      <c r="K60" s="679">
        <f>$C$60*(1+$J$50)</f>
        <v>42218.67</v>
      </c>
      <c r="L60" s="682">
        <v>0.03</v>
      </c>
      <c r="M60" s="27"/>
      <c r="N60" s="27"/>
    </row>
    <row r="61" spans="1:14" s="610" customFormat="1" ht="18.75" customHeight="1">
      <c r="B61" s="678" t="s">
        <v>1349</v>
      </c>
      <c r="C61" s="679">
        <f>+'Part VI-Revenues &amp; Expenses'!L246</f>
        <v>48619</v>
      </c>
      <c r="D61" s="679"/>
      <c r="E61" s="679">
        <f>$C$61</f>
        <v>48619</v>
      </c>
      <c r="F61" s="679"/>
      <c r="G61" s="679">
        <f>$C$61*(1+H50)</f>
        <v>51049.950000000004</v>
      </c>
      <c r="H61" s="681"/>
      <c r="I61" s="679">
        <f>$C$61</f>
        <v>48619</v>
      </c>
      <c r="J61" s="679"/>
      <c r="K61" s="679">
        <f>$C$61*(1+$L$61)</f>
        <v>51049.950000000004</v>
      </c>
      <c r="L61" s="682">
        <v>0.05</v>
      </c>
      <c r="M61" s="27"/>
      <c r="N61" s="27"/>
    </row>
    <row r="62" spans="1:14" s="610" customFormat="1" ht="18.75" customHeight="1">
      <c r="B62" s="684" t="s">
        <v>2930</v>
      </c>
      <c r="C62" s="685">
        <f>SUM(C58:C61)</f>
        <v>213188</v>
      </c>
      <c r="D62" s="679"/>
      <c r="E62" s="685">
        <f>SUM(E58:E61)</f>
        <v>213188</v>
      </c>
      <c r="F62" s="679"/>
      <c r="G62" s="685">
        <f>SUM(G58:G61)</f>
        <v>215618.95</v>
      </c>
      <c r="H62" s="679"/>
      <c r="I62" s="685">
        <f>SUM(I58:I61)</f>
        <v>214417.66999999998</v>
      </c>
      <c r="J62" s="679"/>
      <c r="K62" s="685">
        <f>SUM(K58:K61)</f>
        <v>218468.46000000002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130766.77120000002</v>
      </c>
      <c r="D64" s="691"/>
      <c r="E64" s="691">
        <f>E56-E62</f>
        <v>119671.45600000001</v>
      </c>
      <c r="F64" s="691"/>
      <c r="G64" s="691">
        <f>G56-G62</f>
        <v>128335.82120000001</v>
      </c>
      <c r="H64" s="691"/>
      <c r="I64" s="691">
        <f>I56-I62</f>
        <v>129537.10120000003</v>
      </c>
      <c r="J64" s="691"/>
      <c r="K64" s="691">
        <f>K56-K62</f>
        <v>114390.99599999998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15000</v>
      </c>
      <c r="D66" s="686"/>
      <c r="E66" s="686">
        <f>$C$66</f>
        <v>15000</v>
      </c>
      <c r="F66" s="686"/>
      <c r="G66" s="686">
        <f>$C$66</f>
        <v>15000</v>
      </c>
      <c r="H66" s="686"/>
      <c r="I66" s="686">
        <f>$C$66</f>
        <v>15000</v>
      </c>
      <c r="J66" s="686"/>
      <c r="K66" s="686">
        <f>$C$66</f>
        <v>15000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30956</v>
      </c>
      <c r="D68" s="686"/>
      <c r="E68" s="686">
        <f>$C$68</f>
        <v>30956</v>
      </c>
      <c r="F68" s="686"/>
      <c r="G68" s="686">
        <f>$C$68</f>
        <v>30956</v>
      </c>
      <c r="H68" s="686"/>
      <c r="I68" s="686">
        <f>$C$68</f>
        <v>30956</v>
      </c>
      <c r="J68" s="686"/>
      <c r="K68" s="686">
        <f>$C$68</f>
        <v>30956</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84810.771200000017</v>
      </c>
      <c r="D70" s="695"/>
      <c r="E70" s="694">
        <f>E64-E66-E68</f>
        <v>73715.456000000006</v>
      </c>
      <c r="F70" s="695"/>
      <c r="G70" s="694">
        <f>G64-G66-G68</f>
        <v>82379.821200000006</v>
      </c>
      <c r="H70" s="695"/>
      <c r="I70" s="694">
        <f>I64-I66-I68</f>
        <v>83581.101200000034</v>
      </c>
      <c r="J70" s="695"/>
      <c r="K70" s="694">
        <f>K64-K66-K68</f>
        <v>68434.995999999985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1.334660568710448</v>
      </c>
      <c r="D72" s="697"/>
      <c r="E72" s="1213">
        <f>-E70/E75</f>
        <v>1.1600544486937763</v>
      </c>
      <c r="F72" s="697"/>
      <c r="G72" s="1213">
        <f>-G70/G75</f>
        <v>1.296404895950964</v>
      </c>
      <c r="H72" s="697"/>
      <c r="I72" s="1213">
        <f>-I70/I75</f>
        <v>1.3153093467099322</v>
      </c>
      <c r="J72" s="697"/>
      <c r="K72" s="1213">
        <f>-K70/K75</f>
        <v>1.0769562567196322</v>
      </c>
      <c r="L72" s="698"/>
      <c r="M72" s="245"/>
      <c r="N72" s="245"/>
    </row>
    <row r="73" spans="1:14" s="610" customFormat="1" ht="18.75" customHeight="1">
      <c r="A73" s="27"/>
      <c r="B73" s="678" t="s">
        <v>2936</v>
      </c>
      <c r="C73" s="1214">
        <f>C76/C62</f>
        <v>9.9752082687717306E-2</v>
      </c>
      <c r="D73" s="699"/>
      <c r="E73" s="1214">
        <f>E76/E62</f>
        <v>4.770733720485705E-2</v>
      </c>
      <c r="F73" s="699"/>
      <c r="G73" s="1214">
        <f>G76/G62</f>
        <v>8.7353161695802081E-2</v>
      </c>
      <c r="H73" s="699"/>
      <c r="I73" s="1214">
        <f>I76/I62</f>
        <v>9.3445083159560002E-2</v>
      </c>
      <c r="J73" s="699"/>
      <c r="K73" s="1214">
        <f>K76/K62</f>
        <v>2.2383880053116329E-2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-63544.824195970941</v>
      </c>
      <c r="D75" s="679"/>
      <c r="E75" s="679">
        <f>$C$75</f>
        <v>-63544.824195970941</v>
      </c>
      <c r="F75" s="679"/>
      <c r="G75" s="679">
        <f>$C$75</f>
        <v>-63544.824195970941</v>
      </c>
      <c r="H75" s="679"/>
      <c r="I75" s="679">
        <f>$C$75</f>
        <v>-63544.824195970941</v>
      </c>
      <c r="J75" s="679"/>
      <c r="K75" s="679">
        <f>$C$75</f>
        <v>-63544.824195970941</v>
      </c>
      <c r="L75" s="33"/>
      <c r="M75" s="27"/>
      <c r="N75" s="27"/>
    </row>
    <row r="76" spans="1:14" s="610" customFormat="1" ht="18.75" customHeight="1">
      <c r="A76" s="27"/>
      <c r="B76" s="678" t="s">
        <v>1142</v>
      </c>
      <c r="C76" s="679">
        <f>C70+C75</f>
        <v>21265.947004029076</v>
      </c>
      <c r="D76" s="679"/>
      <c r="E76" s="679">
        <f>E70+E75</f>
        <v>10170.631804029064</v>
      </c>
      <c r="F76" s="679"/>
      <c r="G76" s="679">
        <f>G70+G75</f>
        <v>18834.997004029065</v>
      </c>
      <c r="H76" s="679"/>
      <c r="I76" s="679">
        <f>I70+I75</f>
        <v>20036.277004029092</v>
      </c>
      <c r="J76" s="679"/>
      <c r="K76" s="679">
        <f>K70+K75</f>
        <v>4890.1718040290434</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11974075</v>
      </c>
    </row>
    <row r="5" spans="1:7">
      <c r="A5" s="1150" t="s">
        <v>3878</v>
      </c>
      <c r="B5" s="1151">
        <f>+B18+B26+B38</f>
        <v>597628.53933032963</v>
      </c>
    </row>
    <row r="6" spans="1:7">
      <c r="A6" s="1150" t="s">
        <v>3848</v>
      </c>
      <c r="B6" s="1152">
        <f>+B5-B4</f>
        <v>-11376446.46066967</v>
      </c>
    </row>
    <row r="7" spans="1:7">
      <c r="A7" s="1150" t="s">
        <v>3849</v>
      </c>
      <c r="B7" s="1153">
        <f>+B6/B4</f>
        <v>-0.95008979488350209</v>
      </c>
    </row>
    <row r="8" spans="1:7" ht="9" customHeight="1"/>
    <row r="9" spans="1:7">
      <c r="A9" s="1150" t="s">
        <v>3850</v>
      </c>
      <c r="B9" s="1151">
        <f>+B18+B26+B33</f>
        <v>597628.53933032963</v>
      </c>
    </row>
    <row r="10" spans="1:7">
      <c r="A10" s="1150" t="s">
        <v>3848</v>
      </c>
      <c r="B10" s="1152">
        <f>+B9-B4</f>
        <v>-11376446.46066967</v>
      </c>
    </row>
    <row r="11" spans="1:7">
      <c r="A11" s="1150" t="s">
        <v>3849</v>
      </c>
      <c r="B11" s="1153">
        <f>+B10/B4</f>
        <v>-0.95008979488350209</v>
      </c>
    </row>
    <row r="12" spans="1:7" ht="24" customHeight="1"/>
    <row r="13" spans="1:7">
      <c r="A13" s="1149" t="s">
        <v>3851</v>
      </c>
      <c r="D13" s="1219" t="s">
        <v>4107</v>
      </c>
      <c r="E13" s="1220"/>
    </row>
    <row r="14" spans="1:7">
      <c r="A14" s="1150" t="s">
        <v>3852</v>
      </c>
      <c r="B14" s="1154">
        <f>+SUM('Part III-Sources of Funds'!L49:M50)</f>
        <v>11374072.199999999</v>
      </c>
      <c r="D14" s="1220"/>
      <c r="E14" s="1220"/>
    </row>
    <row r="15" spans="1:7">
      <c r="A15" s="1150" t="s">
        <v>3853</v>
      </c>
      <c r="B15" s="1155">
        <f>+'Part IV-A-Uses of Funds'!J173</f>
        <v>1137407.5</v>
      </c>
      <c r="D15" s="1220" t="s">
        <v>1997</v>
      </c>
      <c r="G15" s="1221">
        <f>'Part IV-A-Uses of Funds'!J155</f>
        <v>14047367.1</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6680927.7927599996</v>
      </c>
    </row>
    <row r="20" spans="1:7">
      <c r="A20" s="1150" t="s">
        <v>3856</v>
      </c>
      <c r="B20" s="1154">
        <f>+B18-B14</f>
        <v>-11374072.199999999</v>
      </c>
      <c r="D20" s="1220" t="s">
        <v>4112</v>
      </c>
      <c r="G20" s="1223">
        <f>+B14-G19</f>
        <v>4693144.4072399996</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600000</v>
      </c>
    </row>
    <row r="25" spans="1:7">
      <c r="A25" s="1150" t="s">
        <v>3860</v>
      </c>
      <c r="B25" s="1158">
        <f>IF('Part III-Sources of Funds'!E5="Yes","N/A",MAX(B46:P46))</f>
        <v>-62.848913762063603</v>
      </c>
    </row>
    <row r="26" spans="1:7">
      <c r="A26" s="1150" t="s">
        <v>3861</v>
      </c>
      <c r="B26" s="1148">
        <f>IFERROR(PV('Part III-Sources of Funds'!K38,'Part III-Sources of Funds'!L38,B25+B45),B24)</f>
        <v>597628.53933032963</v>
      </c>
    </row>
    <row r="27" spans="1:7" ht="9" customHeight="1">
      <c r="B27" s="1148"/>
    </row>
    <row r="28" spans="1:7">
      <c r="A28" s="1150" t="s">
        <v>3862</v>
      </c>
      <c r="B28" s="1159">
        <f>+B26-B24</f>
        <v>-2371.4606696703704</v>
      </c>
      <c r="C28" s="1160"/>
    </row>
    <row r="29" spans="1:7">
      <c r="A29" s="1150" t="s">
        <v>3857</v>
      </c>
      <c r="B29" s="1161">
        <f>+B28/B24</f>
        <v>-3.9524344494506177E-3</v>
      </c>
    </row>
    <row r="30" spans="1:7" ht="24" customHeight="1"/>
    <row r="31" spans="1:7">
      <c r="A31" s="1149" t="s">
        <v>3770</v>
      </c>
    </row>
    <row r="32" spans="1:7">
      <c r="A32" s="1150" t="s">
        <v>3863</v>
      </c>
      <c r="B32" s="1162">
        <f>+'Part III-Sources of Funds'!I43</f>
        <v>0</v>
      </c>
    </row>
    <row r="33" spans="1:11">
      <c r="A33" s="1150" t="s">
        <v>3864</v>
      </c>
      <c r="B33" s="1148"/>
    </row>
    <row r="34" spans="1:11" ht="9" customHeight="1">
      <c r="B34" s="1148"/>
    </row>
    <row r="35" spans="1:11">
      <c r="A35" s="1150" t="s">
        <v>3865</v>
      </c>
      <c r="B35" s="1162">
        <f>+B33-B32</f>
        <v>0</v>
      </c>
    </row>
    <row r="36" spans="1:11">
      <c r="A36" s="1150" t="s">
        <v>3866</v>
      </c>
      <c r="B36" s="1147" t="e">
        <f>+B35/B32</f>
        <v>#DIV/0!</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84810.771200000017</v>
      </c>
      <c r="C44" s="1151">
        <f>+'Part VII-Pro Forma'!C24</f>
        <v>84225.226624000003</v>
      </c>
      <c r="D44" s="1151">
        <f>+'Part VII-Pro Forma'!D24</f>
        <v>83558.894756480004</v>
      </c>
      <c r="E44" s="1151">
        <f>+'Part VII-Pro Forma'!E24</f>
        <v>82809.366159609577</v>
      </c>
      <c r="F44" s="1151">
        <f>+'Part VII-Pro Forma'!F24</f>
        <v>81972.101596041874</v>
      </c>
      <c r="G44" s="1151">
        <f>+'Part VII-Pro Forma'!G24</f>
        <v>81043.427584599878</v>
      </c>
      <c r="H44" s="1151">
        <f>+'Part VII-Pro Forma'!H24</f>
        <v>80019.531811628141</v>
      </c>
      <c r="I44" s="1151">
        <f>+'Part VII-Pro Forma'!I24</f>
        <v>78894.458393457098</v>
      </c>
      <c r="J44" s="1151">
        <f>+'Part VII-Pro Forma'!J24</f>
        <v>77666.102985290519</v>
      </c>
      <c r="K44" s="1151">
        <f>+'Part VII-Pro Forma'!K24</f>
        <v>76329.207731679606</v>
      </c>
    </row>
    <row r="45" spans="1:11">
      <c r="A45" s="1150" t="s">
        <v>3869</v>
      </c>
      <c r="B45" s="1151">
        <f>SUM('Part VII-Pro Forma'!B25:B28)</f>
        <v>-63544.824195970941</v>
      </c>
      <c r="C45" s="1151">
        <f>SUM('Part VII-Pro Forma'!C25:C28)</f>
        <v>-63544.824195970941</v>
      </c>
      <c r="D45" s="1151">
        <f>SUM('Part VII-Pro Forma'!D25:D28)</f>
        <v>-63544.824195970941</v>
      </c>
      <c r="E45" s="1151">
        <f>SUM('Part VII-Pro Forma'!E25:E28)</f>
        <v>-63544.824195970941</v>
      </c>
      <c r="F45" s="1151">
        <f>SUM('Part VII-Pro Forma'!F25:F28)</f>
        <v>-63544.824195970941</v>
      </c>
      <c r="G45" s="1151">
        <f>SUM('Part VII-Pro Forma'!G25:G28)</f>
        <v>-63544.824195970941</v>
      </c>
      <c r="H45" s="1151">
        <f>SUM('Part VII-Pro Forma'!H25:H28)</f>
        <v>-63544.824195970941</v>
      </c>
      <c r="I45" s="1151">
        <f>SUM('Part VII-Pro Forma'!I25:I28)</f>
        <v>-63544.824195970941</v>
      </c>
      <c r="J45" s="1151">
        <f>SUM('Part VII-Pro Forma'!J25:J28)</f>
        <v>-63544.824195970941</v>
      </c>
      <c r="K45" s="1151">
        <f>SUM('Part VII-Pro Forma'!K25:K28)</f>
        <v>-63544.824195970941</v>
      </c>
    </row>
    <row r="46" spans="1:11">
      <c r="A46" s="1150" t="s">
        <v>3870</v>
      </c>
      <c r="B46" s="1152">
        <f t="shared" ref="B46:K46" si="0">-B44/B48-B45</f>
        <v>-7130.81847069574</v>
      </c>
      <c r="C46" s="1152">
        <f t="shared" si="0"/>
        <v>-6642.8646573623992</v>
      </c>
      <c r="D46" s="1152">
        <f t="shared" si="0"/>
        <v>-6087.5881010957382</v>
      </c>
      <c r="E46" s="1152">
        <f t="shared" si="0"/>
        <v>-5462.9809370370494</v>
      </c>
      <c r="F46" s="1152">
        <f t="shared" si="0"/>
        <v>-4765.2604673972965</v>
      </c>
      <c r="G46" s="1152">
        <f t="shared" si="0"/>
        <v>-3991.3654578622954</v>
      </c>
      <c r="H46" s="1152">
        <f t="shared" si="0"/>
        <v>-3138.1189803858433</v>
      </c>
      <c r="I46" s="1152">
        <f t="shared" si="0"/>
        <v>-2200.5577985766431</v>
      </c>
      <c r="J46" s="1152">
        <f t="shared" si="0"/>
        <v>-1176.9282917711607</v>
      </c>
      <c r="K46" s="1152">
        <f t="shared" si="0"/>
        <v>-62.848913762063603</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84810.771200000017</v>
      </c>
      <c r="C51" s="1152">
        <f t="shared" ref="C51:K51" si="2">+C44</f>
        <v>84225.226624000003</v>
      </c>
      <c r="D51" s="1152">
        <f t="shared" si="2"/>
        <v>83558.894756480004</v>
      </c>
      <c r="E51" s="1152">
        <f t="shared" si="2"/>
        <v>82809.366159609577</v>
      </c>
      <c r="F51" s="1152">
        <f t="shared" si="2"/>
        <v>81972.101596041874</v>
      </c>
      <c r="G51" s="1152">
        <f t="shared" si="2"/>
        <v>81043.427584599878</v>
      </c>
      <c r="H51" s="1152">
        <f t="shared" si="2"/>
        <v>80019.531811628141</v>
      </c>
      <c r="I51" s="1152">
        <f t="shared" si="2"/>
        <v>78894.458393457098</v>
      </c>
      <c r="J51" s="1152">
        <f t="shared" si="2"/>
        <v>77666.102985290519</v>
      </c>
      <c r="K51" s="1152">
        <f t="shared" si="2"/>
        <v>76329.207731679606</v>
      </c>
    </row>
    <row r="52" spans="1:17">
      <c r="A52" s="1150" t="s">
        <v>3872</v>
      </c>
      <c r="B52" s="1152">
        <f>IF($B$25="N/A",B45,B45+$B$25)</f>
        <v>-63607.673109733005</v>
      </c>
      <c r="C52" s="1152">
        <f t="shared" ref="C52:K52" si="3">IF($B$25="N/A",C45,C45+$B$25)</f>
        <v>-63607.673109733005</v>
      </c>
      <c r="D52" s="1152">
        <f t="shared" si="3"/>
        <v>-63607.673109733005</v>
      </c>
      <c r="E52" s="1152">
        <f t="shared" si="3"/>
        <v>-63607.673109733005</v>
      </c>
      <c r="F52" s="1152">
        <f t="shared" si="3"/>
        <v>-63607.673109733005</v>
      </c>
      <c r="G52" s="1152">
        <f t="shared" si="3"/>
        <v>-63607.673109733005</v>
      </c>
      <c r="H52" s="1152">
        <f t="shared" si="3"/>
        <v>-63607.673109733005</v>
      </c>
      <c r="I52" s="1152">
        <f t="shared" si="3"/>
        <v>-63607.673109733005</v>
      </c>
      <c r="J52" s="1152">
        <f t="shared" si="3"/>
        <v>-63607.673109733005</v>
      </c>
      <c r="K52" s="1152">
        <f t="shared" si="3"/>
        <v>-63607.673109733005</v>
      </c>
    </row>
    <row r="53" spans="1:17">
      <c r="A53" s="1150" t="s">
        <v>3873</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3874</v>
      </c>
      <c r="B54" s="1152">
        <f>+SUM(B51:B53)</f>
        <v>16203.098090267013</v>
      </c>
      <c r="C54" s="1152">
        <f t="shared" ref="C54:K54" si="4">+SUM(C51:C53)</f>
        <v>15617.553514266998</v>
      </c>
      <c r="D54" s="1152">
        <f t="shared" si="4"/>
        <v>14951.221646746999</v>
      </c>
      <c r="E54" s="1152">
        <f t="shared" si="4"/>
        <v>14201.693049876572</v>
      </c>
      <c r="F54" s="1152">
        <f t="shared" si="4"/>
        <v>13364.428486308869</v>
      </c>
      <c r="G54" s="1152">
        <f t="shared" si="4"/>
        <v>12435.754474866873</v>
      </c>
      <c r="H54" s="1152">
        <f t="shared" si="4"/>
        <v>11411.858701895137</v>
      </c>
      <c r="I54" s="1152">
        <f t="shared" si="4"/>
        <v>10286.785283724093</v>
      </c>
      <c r="J54" s="1152">
        <f t="shared" si="4"/>
        <v>9058.4298755575146</v>
      </c>
      <c r="K54" s="1152">
        <f t="shared" si="4"/>
        <v>7721.534621946601</v>
      </c>
    </row>
    <row r="55" spans="1:17">
      <c r="A55" s="1150" t="s">
        <v>3770</v>
      </c>
      <c r="B55" s="1152">
        <f>-B54</f>
        <v>-16203.098090267013</v>
      </c>
      <c r="C55" s="1152">
        <f t="shared" ref="C55:K55" si="5">-C54</f>
        <v>-15617.553514266998</v>
      </c>
      <c r="D55" s="1152">
        <f t="shared" si="5"/>
        <v>-14951.221646746999</v>
      </c>
      <c r="E55" s="1152">
        <f t="shared" si="5"/>
        <v>-14201.693049876572</v>
      </c>
      <c r="F55" s="1152">
        <f t="shared" si="5"/>
        <v>-13364.428486308869</v>
      </c>
      <c r="G55" s="1152">
        <f t="shared" si="5"/>
        <v>-12435.754474866873</v>
      </c>
      <c r="H55" s="1152">
        <f t="shared" si="5"/>
        <v>-11411.858701895137</v>
      </c>
      <c r="I55" s="1152">
        <f t="shared" si="5"/>
        <v>-10286.785283724093</v>
      </c>
      <c r="J55" s="1152">
        <f t="shared" si="5"/>
        <v>-9058.4298755575146</v>
      </c>
      <c r="K55" s="1152">
        <f t="shared" si="5"/>
        <v>-7721.534621946601</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540593.59665308159</v>
      </c>
      <c r="C58" s="1151">
        <f>IF($B$26="","",-FV('Part III-Sources of Funds'!$K$38/12,12,C52/12,B58))</f>
        <v>482899.28391823859</v>
      </c>
      <c r="D58" s="1151">
        <f>IF($B$26="","",-FV('Part III-Sources of Funds'!$K$38/12,12,D52/12,C58))</f>
        <v>424537.97827474738</v>
      </c>
      <c r="E58" s="1151">
        <f>IF($B$26="","",-FV('Part III-Sources of Funds'!$K$38/12,12,E52/12,D58))</f>
        <v>365501.96874523268</v>
      </c>
      <c r="F58" s="1151">
        <f>IF($B$26="","",-FV('Part III-Sources of Funds'!$K$38/12,12,F52/12,E58))</f>
        <v>305783.45520718524</v>
      </c>
      <c r="G58" s="1151">
        <f>IF($B$26="","",-FV('Part III-Sources of Funds'!$K$38/12,12,G52/12,F58))</f>
        <v>245374.54736237225</v>
      </c>
      <c r="H58" s="1151">
        <f>IF($B$26="","",-FV('Part III-Sources of Funds'!$K$38/12,12,H52/12,G58))</f>
        <v>184267.26369433297</v>
      </c>
      <c r="I58" s="1151">
        <f>IF($B$26="","",-FV('Part III-Sources of Funds'!$K$38/12,12,I52/12,H58))</f>
        <v>122453.5304138223</v>
      </c>
      <c r="J58" s="1151">
        <f>IF($B$26="","",-FV('Part III-Sources of Funds'!$K$38/12,12,J52/12,I58))</f>
        <v>59925.180392062714</v>
      </c>
      <c r="K58" s="1151">
        <f>IF($B$26="","",-FV('Part III-Sources of Funds'!$K$38/12,12,K52/12,J58))</f>
        <v>-3326.0479183361676</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74878.356053596945</v>
      </c>
      <c r="C64" s="1151">
        <f>+'Part VII-Pro Forma'!C56</f>
        <v>73308.967266971013</v>
      </c>
      <c r="D64" s="1151">
        <f>+'Part VII-Pro Forma'!D56</f>
        <v>71616.291027381871</v>
      </c>
      <c r="E64" s="1151">
        <f>+'Part VII-Pro Forma'!E56</f>
        <v>69795.401595452917</v>
      </c>
      <c r="F64" s="1151">
        <f>+'Part VII-Pro Forma'!F56</f>
        <v>67840.19191731108</v>
      </c>
      <c r="G64" s="1151">
        <f>+'Part VII-Pro Forma'!G56</f>
        <v>65745.367514304846</v>
      </c>
      <c r="H64" s="1151">
        <f>+'Part VII-Pro Forma'!H56</f>
        <v>63505.440175998061</v>
      </c>
      <c r="I64" s="1151">
        <f>+'Part VII-Pro Forma'!I56</f>
        <v>61113.721450267345</v>
      </c>
      <c r="J64" s="1151">
        <f>+'Part VII-Pro Forma'!J56</f>
        <v>58564.315924144408</v>
      </c>
      <c r="K64" s="1151">
        <f>+'Part VII-Pro Forma'!K56</f>
        <v>55851.114288845209</v>
      </c>
    </row>
    <row r="65" spans="1:11">
      <c r="A65" s="1150" t="s">
        <v>3869</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3870</v>
      </c>
      <c r="B66" s="1152">
        <f t="shared" ref="B66:K66" si="7">-B64/B68-B65</f>
        <v>-62398.630044664125</v>
      </c>
      <c r="C66" s="1152">
        <f t="shared" si="7"/>
        <v>-61090.806055809182</v>
      </c>
      <c r="D66" s="1152">
        <f t="shared" si="7"/>
        <v>-59680.242522818226</v>
      </c>
      <c r="E66" s="1152">
        <f t="shared" si="7"/>
        <v>-58162.834662877431</v>
      </c>
      <c r="F66" s="1152">
        <f t="shared" si="7"/>
        <v>-56533.493264425902</v>
      </c>
      <c r="G66" s="1152">
        <f t="shared" si="7"/>
        <v>-54787.806261920705</v>
      </c>
      <c r="H66" s="1152">
        <f t="shared" si="7"/>
        <v>-52921.200146665054</v>
      </c>
      <c r="I66" s="1152">
        <f t="shared" si="7"/>
        <v>-50928.101208556123</v>
      </c>
      <c r="J66" s="1152">
        <f t="shared" si="7"/>
        <v>-48803.596603453676</v>
      </c>
      <c r="K66" s="1152">
        <f t="shared" si="7"/>
        <v>-46542.595240704344</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74878.356053596945</v>
      </c>
      <c r="C71" s="1152">
        <f t="shared" si="9"/>
        <v>73308.967266971013</v>
      </c>
      <c r="D71" s="1152">
        <f t="shared" si="9"/>
        <v>71616.291027381871</v>
      </c>
      <c r="E71" s="1152">
        <f t="shared" si="9"/>
        <v>69795.401595452917</v>
      </c>
      <c r="F71" s="1152">
        <f t="shared" si="9"/>
        <v>67840.19191731108</v>
      </c>
      <c r="G71" s="1152">
        <f t="shared" si="9"/>
        <v>65745.367514304846</v>
      </c>
      <c r="H71" s="1152">
        <f>+H64</f>
        <v>63505.440175998061</v>
      </c>
      <c r="I71" s="1152">
        <f>+I64</f>
        <v>61113.721450267345</v>
      </c>
      <c r="J71" s="1152">
        <f>+J64</f>
        <v>58564.315924144408</v>
      </c>
      <c r="K71" s="1152">
        <f>+K64</f>
        <v>55851.114288845209</v>
      </c>
    </row>
    <row r="72" spans="1:11">
      <c r="A72" s="1150" t="s">
        <v>3872</v>
      </c>
      <c r="B72" s="1152">
        <f t="shared" ref="B72:G72" si="10">IF($B$25="N/A",B65,B65+$B$25)</f>
        <v>-62.848913762063603</v>
      </c>
      <c r="C72" s="1152">
        <f t="shared" si="10"/>
        <v>-62.848913762063603</v>
      </c>
      <c r="D72" s="1152">
        <f t="shared" si="10"/>
        <v>-62.848913762063603</v>
      </c>
      <c r="E72" s="1152">
        <f t="shared" si="10"/>
        <v>-62.848913762063603</v>
      </c>
      <c r="F72" s="1152">
        <f t="shared" si="10"/>
        <v>-62.848913762063603</v>
      </c>
      <c r="G72" s="1152">
        <f t="shared" si="10"/>
        <v>-62.848913762063603</v>
      </c>
      <c r="H72" s="1152">
        <f>IF($B$25="N/A",H65,H65+$B$25)</f>
        <v>-62.848913762063603</v>
      </c>
      <c r="I72" s="1152">
        <f>IF($B$25="N/A",I65,I65+$B$25)</f>
        <v>-62.848913762063603</v>
      </c>
      <c r="J72" s="1152">
        <f>IF($B$25="N/A",J65,J65+$B$25)</f>
        <v>-62.848913762063603</v>
      </c>
      <c r="K72" s="1152">
        <f>IF($B$25="N/A",K65,K65+$B$25)</f>
        <v>-62.848913762063603</v>
      </c>
    </row>
    <row r="73" spans="1:11">
      <c r="A73" s="1150" t="s">
        <v>3873</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3874</v>
      </c>
      <c r="B74" s="1152">
        <f t="shared" ref="B74:G74" si="11">+SUM(B71:B73)</f>
        <v>69815.507139834881</v>
      </c>
      <c r="C74" s="1152">
        <f t="shared" si="11"/>
        <v>68246.118353208949</v>
      </c>
      <c r="D74" s="1152">
        <f t="shared" si="11"/>
        <v>66553.442113619807</v>
      </c>
      <c r="E74" s="1152">
        <f t="shared" si="11"/>
        <v>64732.552681690853</v>
      </c>
      <c r="F74" s="1152">
        <f t="shared" si="11"/>
        <v>62777.343003549016</v>
      </c>
      <c r="G74" s="1152">
        <f t="shared" si="11"/>
        <v>60682.518600542782</v>
      </c>
      <c r="H74" s="1152">
        <f>+SUM(H71:H73)</f>
        <v>58442.591262235997</v>
      </c>
      <c r="I74" s="1152">
        <f>+SUM(I71:I73)</f>
        <v>56050.872536505281</v>
      </c>
      <c r="J74" s="1152">
        <f>+SUM(J71:J73)</f>
        <v>53501.467010382345</v>
      </c>
      <c r="K74" s="1152">
        <f>+SUM(K71:K73)</f>
        <v>50788.265375083145</v>
      </c>
    </row>
    <row r="75" spans="1:11">
      <c r="A75" s="1150" t="s">
        <v>3770</v>
      </c>
      <c r="B75" s="1152">
        <f t="shared" ref="B75:G75" si="12">-B74</f>
        <v>-69815.507139834881</v>
      </c>
      <c r="C75" s="1152">
        <f t="shared" si="12"/>
        <v>-68246.118353208949</v>
      </c>
      <c r="D75" s="1152">
        <f t="shared" si="12"/>
        <v>-66553.442113619807</v>
      </c>
      <c r="E75" s="1152">
        <f t="shared" si="12"/>
        <v>-64732.552681690853</v>
      </c>
      <c r="F75" s="1152">
        <f t="shared" si="12"/>
        <v>-62777.343003549016</v>
      </c>
      <c r="G75" s="1152">
        <f t="shared" si="12"/>
        <v>-60682.518600542782</v>
      </c>
      <c r="H75" s="1152">
        <f>-H74</f>
        <v>-58442.591262235997</v>
      </c>
      <c r="I75" s="1152">
        <f>-I74</f>
        <v>-56050.872536505281</v>
      </c>
      <c r="J75" s="1152">
        <f>-J74</f>
        <v>-53501.467010382345</v>
      </c>
      <c r="K75" s="1152">
        <f>-K74</f>
        <v>-50788.265375083145</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-3427.6809622272176</v>
      </c>
      <c r="C78" s="1151">
        <f>IF($B$26="","",-FV('Part III-Sources of Funds'!$K$38/12,12,C72/12,B78))</f>
        <v>-3530.4889662893193</v>
      </c>
      <c r="D78" s="1151">
        <f>IF($B$26="","",-FV('Part III-Sources of Funds'!$K$38/12,12,D72/12,C78))</f>
        <v>-3634.4855140121599</v>
      </c>
      <c r="E78" s="1151">
        <f>IF($B$26="","",-FV('Part III-Sources of Funds'!$K$38/12,12,E72/12,D78))</f>
        <v>-3739.6843459215515</v>
      </c>
      <c r="F78" s="1151">
        <f>IF($B$26="","",-FV('Part III-Sources of Funds'!$K$38/12,12,F72/12,E78))</f>
        <v>-3846.0993613948954</v>
      </c>
      <c r="G78" s="1151">
        <f>IF($B$26="","",-FV('Part III-Sources of Funds'!$K$38/12,12,G72/12,F78))</f>
        <v>-3953.744620497635</v>
      </c>
      <c r="H78" s="1151">
        <f>IF($B$26="","",-FV('Part III-Sources of Funds'!$K$38/12,12,H72/12,G78))</f>
        <v>-4062.6343458409397</v>
      </c>
      <c r="I78" s="1151">
        <f>IF($B$26="","",-FV('Part III-Sources of Funds'!$K$38/12,12,I72/12,H78))</f>
        <v>-4172.7829244608656</v>
      </c>
      <c r="J78" s="1151">
        <f>IF($B$26="","",-FV('Part III-Sources of Funds'!$K$38/12,12,J72/12,I78))</f>
        <v>-4284.2049097192385</v>
      </c>
      <c r="K78" s="1151">
        <f>IF($B$26="","",-FV('Part III-Sources of Funds'!$K$38/12,12,K72/12,J78))</f>
        <v>-4396.9150232265147</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The Pointe at St. Martin</v>
      </c>
    </row>
    <row r="2" spans="1:15" ht="13.5" customHeight="1"/>
    <row r="3" spans="1:15" ht="13.5" customHeight="1">
      <c r="A3" s="620" t="s">
        <v>2943</v>
      </c>
      <c r="C3" s="619" t="s">
        <v>2944</v>
      </c>
      <c r="E3" s="705">
        <f>SUM('Part IV-A-Uses of Funds'!J149,'Part IV-A-Uses of Funds'!M149,'Part IV-A-Uses of Funds'!P149)</f>
        <v>10805667</v>
      </c>
      <c r="F3" s="1238" t="s">
        <v>2945</v>
      </c>
      <c r="H3" s="1215">
        <v>27.5</v>
      </c>
      <c r="I3" s="619" t="s">
        <v>2405</v>
      </c>
      <c r="K3" s="624" t="s">
        <v>2966</v>
      </c>
      <c r="M3" s="1238"/>
      <c r="O3" s="706"/>
    </row>
    <row r="4" spans="1:15" ht="13.5" customHeight="1">
      <c r="C4" s="619" t="s">
        <v>3425</v>
      </c>
      <c r="E4" s="705">
        <f>SUM('Part IV-A-Uses of Funds'!G85:H89)</f>
        <v>26000</v>
      </c>
      <c r="F4" s="1238" t="s">
        <v>4099</v>
      </c>
      <c r="H4" s="620">
        <f>'Part III-Sources of Funds'!M38</f>
        <v>10</v>
      </c>
      <c r="I4" s="619" t="s">
        <v>2405</v>
      </c>
      <c r="K4" s="707" t="s">
        <v>3209</v>
      </c>
      <c r="M4" s="1238"/>
    </row>
    <row r="5" spans="1:15" ht="13.5" customHeight="1">
      <c r="C5" s="619" t="s">
        <v>3426</v>
      </c>
      <c r="E5" s="705">
        <f>SUM('Part IV-A-Uses of Funds'!G96:H102)</f>
        <v>133580</v>
      </c>
      <c r="F5" s="1238" t="s">
        <v>4098</v>
      </c>
      <c r="H5" s="1215">
        <v>15</v>
      </c>
      <c r="I5" s="619" t="s">
        <v>2405</v>
      </c>
      <c r="K5" s="706">
        <f>-E6</f>
        <v>-11374075</v>
      </c>
    </row>
    <row r="6" spans="1:15" ht="13.5" customHeight="1">
      <c r="C6" s="619" t="s">
        <v>2946</v>
      </c>
      <c r="E6" s="708">
        <f>'Part III-Sources of Funds'!$I$49+'Part III-Sources of Funds'!$I$50</f>
        <v>11374075</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16265.947004029076</v>
      </c>
      <c r="D9" s="713">
        <f>'Part VII-Pro Forma'!C32</f>
        <v>15680.402428029061</v>
      </c>
      <c r="E9" s="713">
        <f>'Part VII-Pro Forma'!D32</f>
        <v>15014.070560509062</v>
      </c>
      <c r="F9" s="713">
        <f>'Part VII-Pro Forma'!E32</f>
        <v>14264.541963638636</v>
      </c>
      <c r="G9" s="713">
        <f>'Part VII-Pro Forma'!F32</f>
        <v>13427.277400070932</v>
      </c>
      <c r="H9" s="713">
        <f>'Part VII-Pro Forma'!G32</f>
        <v>12498.603388628937</v>
      </c>
      <c r="I9" s="713">
        <f>'Part VII-Pro Forma'!H32</f>
        <v>11474.7076156572</v>
      </c>
      <c r="K9" s="706" t="e">
        <f>F24</f>
        <v>#VALUE!</v>
      </c>
      <c r="N9" s="714" t="s">
        <v>2952</v>
      </c>
    </row>
    <row r="10" spans="1:15" ht="13.5" customHeight="1">
      <c r="A10" s="619" t="s">
        <v>2951</v>
      </c>
      <c r="C10" s="1175">
        <f>'Part III-Sources of Funds'!I38-'Part VII-Pro Forma'!B39</f>
        <v>56944.345433860784</v>
      </c>
      <c r="D10" s="715">
        <f>'Part VII-Pro Forma'!B39-'Part VII-Pro Forma'!C39</f>
        <v>57602.668114062457</v>
      </c>
      <c r="E10" s="715">
        <f>'Part VII-Pro Forma'!C39-'Part VII-Pro Forma'!D39</f>
        <v>58268.601536787639</v>
      </c>
      <c r="F10" s="715">
        <f>'Part VII-Pro Forma'!D39-'Part VII-Pro Forma'!E39</f>
        <v>58942.233688374225</v>
      </c>
      <c r="G10" s="715">
        <f>'Part VII-Pro Forma'!E39-'Part VII-Pro Forma'!F39</f>
        <v>59623.653572353302</v>
      </c>
      <c r="H10" s="715">
        <f>'Part VII-Pro Forma'!F39-'Part VII-Pro Forma'!G39</f>
        <v>60312.951221208699</v>
      </c>
      <c r="I10" s="715">
        <f>'Part VII-Pro Forma'!G39-'Part VII-Pro Forma'!H39</f>
        <v>61010.217708272568</v>
      </c>
      <c r="K10" s="706" t="e">
        <f>G24</f>
        <v>#VALUE!</v>
      </c>
      <c r="N10" s="714" t="s">
        <v>2953</v>
      </c>
      <c r="O10" s="711"/>
    </row>
    <row r="11" spans="1:15" ht="13.5" customHeight="1">
      <c r="A11" s="619" t="s">
        <v>2951</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3427</v>
      </c>
      <c r="B13" s="718"/>
      <c r="C13" s="1176">
        <f>'Part VII-Pro Forma'!B22</f>
        <v>-15000</v>
      </c>
      <c r="D13" s="1176">
        <f>'Part VII-Pro Forma'!C22</f>
        <v>-15450</v>
      </c>
      <c r="E13" s="1176">
        <f>'Part VII-Pro Forma'!D22</f>
        <v>-15913.5</v>
      </c>
      <c r="F13" s="1176">
        <f>'Part VII-Pro Forma'!E22</f>
        <v>-16390.904999999999</v>
      </c>
      <c r="G13" s="1176">
        <f>'Part VII-Pro Forma'!F22</f>
        <v>-16882.632149999998</v>
      </c>
      <c r="H13" s="1176">
        <f>'Part VII-Pro Forma'!G22</f>
        <v>-17389.111114499996</v>
      </c>
      <c r="I13" s="1176">
        <f>'Part VII-Pro Forma'!H22</f>
        <v>-17910.784447934999</v>
      </c>
      <c r="K13" s="706" t="e">
        <f>C44</f>
        <v>#VALUE!</v>
      </c>
      <c r="O13" s="711"/>
    </row>
    <row r="14" spans="1:15" ht="13.5" customHeight="1">
      <c r="A14" s="717" t="s">
        <v>3428</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2958</v>
      </c>
      <c r="O14" s="711" t="e">
        <f>O6-O8-O12</f>
        <v>#VALUE!</v>
      </c>
    </row>
    <row r="15" spans="1:15" ht="13.5" customHeight="1">
      <c r="A15" s="719" t="s">
        <v>2954</v>
      </c>
      <c r="C15" s="720">
        <f t="shared" ref="C15:I15" si="0">$E$3/$H$3</f>
        <v>392933.34545454546</v>
      </c>
      <c r="D15" s="720">
        <f t="shared" si="0"/>
        <v>392933.34545454546</v>
      </c>
      <c r="E15" s="720">
        <f t="shared" si="0"/>
        <v>392933.34545454546</v>
      </c>
      <c r="F15" s="720">
        <f t="shared" si="0"/>
        <v>392933.34545454546</v>
      </c>
      <c r="G15" s="720">
        <f t="shared" si="0"/>
        <v>392933.34545454546</v>
      </c>
      <c r="H15" s="720">
        <f t="shared" si="0"/>
        <v>392933.34545454546</v>
      </c>
      <c r="I15" s="720">
        <f t="shared" si="0"/>
        <v>392933.34545454546</v>
      </c>
      <c r="K15" s="706" t="e">
        <f>E44</f>
        <v>#VALUE!</v>
      </c>
      <c r="O15" s="711"/>
    </row>
    <row r="16" spans="1:15" ht="13.5" customHeight="1">
      <c r="A16" s="719" t="s">
        <v>2956</v>
      </c>
      <c r="C16" s="720">
        <f>IF(C$8&lt;=$H$4,($E$4/$H$4),0)+IF(C$8&lt;=$H$5,($E$5/$H$5),0)</f>
        <v>11505.333333333334</v>
      </c>
      <c r="D16" s="720">
        <f t="shared" ref="D16:I16" si="1">IF(D$8&lt;=$H$4,($E$4/$H$4),0)+IF(D$8&lt;=$H$5,($E$5/$H$5),0)</f>
        <v>11505.333333333334</v>
      </c>
      <c r="E16" s="720">
        <f t="shared" si="1"/>
        <v>11505.333333333334</v>
      </c>
      <c r="F16" s="720">
        <f t="shared" si="1"/>
        <v>11505.333333333334</v>
      </c>
      <c r="G16" s="720">
        <f t="shared" si="1"/>
        <v>11505.333333333334</v>
      </c>
      <c r="H16" s="720">
        <f t="shared" si="1"/>
        <v>11505.333333333334</v>
      </c>
      <c r="I16" s="720">
        <f t="shared" si="1"/>
        <v>11505.333333333334</v>
      </c>
      <c r="K16" s="706" t="e">
        <f>F44</f>
        <v>#VALUE!</v>
      </c>
      <c r="M16" s="619" t="s">
        <v>2960</v>
      </c>
      <c r="O16" s="711">
        <f>E3</f>
        <v>10805667</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7858666.9090909092</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2947000.0909090908</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800991</v>
      </c>
      <c r="D21" s="721">
        <f t="shared" ref="D21:I21" si="5">C21</f>
        <v>800991</v>
      </c>
      <c r="E21" s="721">
        <f t="shared" si="5"/>
        <v>800991</v>
      </c>
      <c r="F21" s="721">
        <f t="shared" si="5"/>
        <v>800991</v>
      </c>
      <c r="G21" s="721">
        <f t="shared" si="5"/>
        <v>800991</v>
      </c>
      <c r="H21" s="721">
        <f t="shared" si="5"/>
        <v>800991</v>
      </c>
      <c r="I21" s="721">
        <f t="shared" si="5"/>
        <v>800991</v>
      </c>
      <c r="J21" s="619" t="s">
        <v>238</v>
      </c>
      <c r="K21" s="706" t="e">
        <f>D64</f>
        <v>#VALUE!</v>
      </c>
      <c r="O21" s="711"/>
    </row>
    <row r="22" spans="1:17" ht="13.5" customHeight="1">
      <c r="A22" s="619" t="s">
        <v>2963</v>
      </c>
      <c r="C22" s="721">
        <f>C21</f>
        <v>800991</v>
      </c>
      <c r="D22" s="721">
        <f t="shared" ref="D22:I22" si="6">D21</f>
        <v>800991</v>
      </c>
      <c r="E22" s="721">
        <f t="shared" si="6"/>
        <v>800991</v>
      </c>
      <c r="F22" s="721">
        <f t="shared" si="6"/>
        <v>800991</v>
      </c>
      <c r="G22" s="721">
        <f t="shared" si="6"/>
        <v>800991</v>
      </c>
      <c r="H22" s="721">
        <f t="shared" si="6"/>
        <v>800991</v>
      </c>
      <c r="I22" s="721">
        <f t="shared" si="6"/>
        <v>800991</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2947000.0909090908</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-2947000.0909090908</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10349.634197486157</v>
      </c>
      <c r="D29" s="713">
        <f>'Part VII-Pro Forma'!J32</f>
        <v>9121.2787893195782</v>
      </c>
      <c r="E29" s="713">
        <f>'Part VII-Pro Forma'!K32</f>
        <v>7784.3835357086646</v>
      </c>
      <c r="F29" s="713">
        <f>'Part VII-Pro Forma'!B64</f>
        <v>69878.356053596945</v>
      </c>
      <c r="G29" s="713">
        <f>'Part VII-Pro Forma'!C64</f>
        <v>68308.967266971013</v>
      </c>
      <c r="H29" s="713">
        <f>'Part VII-Pro Forma'!D64</f>
        <v>66616.291027381871</v>
      </c>
      <c r="I29" s="713">
        <f>'Part VII-Pro Forma'!E64</f>
        <v>64795.401595452917</v>
      </c>
      <c r="N29" s="724"/>
      <c r="O29" s="724"/>
    </row>
    <row r="30" spans="1:17" ht="13.5" customHeight="1">
      <c r="A30" s="619" t="s">
        <v>2951</v>
      </c>
      <c r="C30" s="715">
        <f>'Part VII-Pro Forma'!H39-'Part VII-Pro Forma'!I39</f>
        <v>61715.545159758476</v>
      </c>
      <c r="D30" s="715">
        <f>'Part VII-Pro Forma'!I39-'Part VII-Pro Forma'!J39</f>
        <v>62429.026766933479</v>
      </c>
      <c r="E30" s="715">
        <f>'Part VII-Pro Forma'!J39-'Part VII-Pro Forma'!K39</f>
        <v>63150.756798431081</v>
      </c>
      <c r="F30" s="1173">
        <f>'Part VII-Pro Forma'!K39-'Part VII-Pro Forma'!B71</f>
        <v>4.9376064756046731E-10</v>
      </c>
      <c r="G30" s="1173">
        <f>'Part VII-Pro Forma'!B71-'Part VII-Pro Forma'!C71</f>
        <v>4.9946891991663868E-10</v>
      </c>
      <c r="H30" s="1173">
        <f>'Part VII-Pro Forma'!C71-'Part VII-Pro Forma'!D71</f>
        <v>5.0524318451712611E-10</v>
      </c>
      <c r="I30" s="1173">
        <f>'Part VII-Pro Forma'!D71-'Part VII-Pro Forma'!E71</f>
        <v>5.1108420428565662E-10</v>
      </c>
    </row>
    <row r="31" spans="1:17" ht="13.5" customHeight="1">
      <c r="A31" s="619" t="s">
        <v>2951</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2970</v>
      </c>
      <c r="O31" s="713">
        <f>O25*O27</f>
        <v>-589400.01818181819</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-18448.10798137305</v>
      </c>
      <c r="D33" s="1176">
        <f>'Part VII-Pro Forma'!J22</f>
        <v>-19001.551220814239</v>
      </c>
      <c r="E33" s="1176">
        <f>'Part VII-Pro Forma'!K22</f>
        <v>-19571.597757438667</v>
      </c>
      <c r="F33" s="1176">
        <f>'Part VII-Pro Forma'!B54</f>
        <v>-20158.745690161828</v>
      </c>
      <c r="G33" s="1176">
        <f>'Part VII-Pro Forma'!C54</f>
        <v>-20763.508060866683</v>
      </c>
      <c r="H33" s="1176">
        <f>'Part VII-Pro Forma'!D54</f>
        <v>-21386.413302692679</v>
      </c>
      <c r="I33" s="1176">
        <f>'Part VII-Pro Forma'!E54</f>
        <v>-22028.005701773458</v>
      </c>
      <c r="K33" s="619" t="s">
        <v>238</v>
      </c>
      <c r="M33" s="619" t="s">
        <v>2971</v>
      </c>
      <c r="O33" s="713" t="e">
        <f>O14-O31</f>
        <v>#VALUE!</v>
      </c>
    </row>
    <row r="34" spans="1:15" ht="13.5" customHeight="1">
      <c r="A34" s="717" t="s">
        <v>3428</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2954</v>
      </c>
      <c r="C35" s="720">
        <f t="shared" ref="C35:I35" si="8">$E$3/$H$3</f>
        <v>392933.34545454546</v>
      </c>
      <c r="D35" s="720">
        <f t="shared" si="8"/>
        <v>392933.34545454546</v>
      </c>
      <c r="E35" s="720">
        <f t="shared" si="8"/>
        <v>392933.34545454546</v>
      </c>
      <c r="F35" s="720">
        <f t="shared" si="8"/>
        <v>392933.34545454546</v>
      </c>
      <c r="G35" s="720">
        <f t="shared" si="8"/>
        <v>392933.34545454546</v>
      </c>
      <c r="H35" s="720">
        <f t="shared" si="8"/>
        <v>392933.34545454546</v>
      </c>
      <c r="I35" s="720">
        <f t="shared" si="8"/>
        <v>392933.34545454546</v>
      </c>
    </row>
    <row r="36" spans="1:15" ht="13.5" customHeight="1">
      <c r="A36" s="719" t="s">
        <v>2956</v>
      </c>
      <c r="C36" s="713">
        <f>IF(C$28&lt;=$H$4,($E$4/$H$4),0)+IF(C$28&lt;=$H$5,($E$5/$H$5),0)</f>
        <v>11505.333333333334</v>
      </c>
      <c r="D36" s="713">
        <f t="shared" ref="D36:I36" si="9">IF(D$28&lt;=$H$4,($E$4/$H$4),0)+IF(D$28&lt;=$H$5,($E$5/$H$5),0)</f>
        <v>11505.333333333334</v>
      </c>
      <c r="E36" s="713">
        <f t="shared" si="9"/>
        <v>11505.333333333334</v>
      </c>
      <c r="F36" s="713">
        <f t="shared" si="9"/>
        <v>8905.3333333333339</v>
      </c>
      <c r="G36" s="713">
        <f t="shared" si="9"/>
        <v>8905.3333333333339</v>
      </c>
      <c r="H36" s="713">
        <f t="shared" si="9"/>
        <v>8905.3333333333339</v>
      </c>
      <c r="I36" s="713">
        <f t="shared" si="9"/>
        <v>8905.3333333333339</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800991</v>
      </c>
      <c r="D41" s="721">
        <f>C41</f>
        <v>800991</v>
      </c>
      <c r="E41" s="721">
        <f>D41</f>
        <v>800991</v>
      </c>
      <c r="F41" s="721">
        <v>0</v>
      </c>
      <c r="G41" s="721">
        <v>0</v>
      </c>
      <c r="H41" s="721">
        <v>0</v>
      </c>
      <c r="I41" s="721">
        <v>0</v>
      </c>
    </row>
    <row r="42" spans="1:15" ht="13.5" customHeight="1">
      <c r="A42" s="619" t="s">
        <v>2963</v>
      </c>
      <c r="C42" s="721">
        <f>C22</f>
        <v>800991</v>
      </c>
      <c r="D42" s="721">
        <f>C42</f>
        <v>800991</v>
      </c>
      <c r="E42" s="721">
        <f>D42</f>
        <v>800991</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62840.19191731108</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5.1699275096593927E-10</v>
      </c>
      <c r="D50" s="1174">
        <f>'Part VII-Pro Forma'!F71-'Part VII-Pro Forma'!G71</f>
        <v>5.2296960522367967E-10</v>
      </c>
      <c r="E50" s="1174">
        <f>'Part VII-Pro Forma'!G71-'Part VII-Pro Forma'!H71</f>
        <v>5.2901555674971287E-10</v>
      </c>
      <c r="F50" s="1174">
        <f>'Part VII-Pro Forma'!H71-'Part VII-Pro Forma'!I71</f>
        <v>5.3513140436433398E-10</v>
      </c>
      <c r="G50" s="1174">
        <f>'Part VII-Pro Forma'!I71-'Part VII-Pro Forma'!J71</f>
        <v>5.4131795612284644E-10</v>
      </c>
      <c r="H50" s="1174">
        <f>'Part VII-Pro Forma'!J71-'Part VII-Pro Forma'!K71</f>
        <v>5.4757602942232785E-10</v>
      </c>
    </row>
    <row r="51" spans="1:10" ht="13.5" customHeight="1">
      <c r="A51" s="619" t="s">
        <v>2951</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-22688.845872826667</v>
      </c>
      <c r="D53" s="1176">
        <f>'Part VII-Pro Forma'!G54</f>
        <v>-23369.511249011466</v>
      </c>
      <c r="E53" s="1176">
        <f>'Part VII-Pro Forma'!H54</f>
        <v>-24070.596586481806</v>
      </c>
      <c r="F53" s="1176">
        <f>'Part VII-Pro Forma'!I54</f>
        <v>-24792.714484076259</v>
      </c>
      <c r="G53" s="1176">
        <f>'Part VII-Pro Forma'!J54</f>
        <v>-25536.49591859855</v>
      </c>
      <c r="H53" s="1176">
        <f>'Part VII-Pro Forma'!K54</f>
        <v>-26302.590796156503</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392933.34545454546</v>
      </c>
      <c r="D55" s="720">
        <f t="shared" si="14"/>
        <v>392933.34545454546</v>
      </c>
      <c r="E55" s="720">
        <f t="shared" si="14"/>
        <v>392933.34545454546</v>
      </c>
      <c r="F55" s="720">
        <f t="shared" si="14"/>
        <v>392933.34545454546</v>
      </c>
      <c r="G55" s="720">
        <f t="shared" si="14"/>
        <v>392933.34545454546</v>
      </c>
      <c r="H55" s="720">
        <f t="shared" si="14"/>
        <v>392933.34545454546</v>
      </c>
    </row>
    <row r="56" spans="1:10" ht="13.5" customHeight="1">
      <c r="A56" s="719" t="s">
        <v>2956</v>
      </c>
      <c r="C56" s="713">
        <f t="shared" ref="C56:H56" si="15">IF(C$48&lt;=$H$4,($E$4/$H$4),0)+IF(C$48&lt;=$H$5,($E$5/$H$5),0)</f>
        <v>8905.3333333333339</v>
      </c>
      <c r="D56" s="713">
        <f t="shared" si="15"/>
        <v>0</v>
      </c>
      <c r="E56" s="713">
        <f t="shared" si="15"/>
        <v>0</v>
      </c>
      <c r="F56" s="713">
        <f t="shared" si="15"/>
        <v>0</v>
      </c>
      <c r="G56" s="713">
        <f t="shared" si="15"/>
        <v>0</v>
      </c>
      <c r="H56" s="713">
        <f t="shared" si="15"/>
        <v>0</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4037" t="e">
        <f>IRR(K5:K25)</f>
        <v>#VALUE!</v>
      </c>
      <c r="H66" s="4038"/>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40" t="str">
        <f>'Sensitivity Analysis'!C8</f>
        <v>The Pointe at St. Martin</v>
      </c>
      <c r="B1" s="4040"/>
      <c r="C1" s="4040"/>
      <c r="D1" s="4040"/>
      <c r="E1" s="4040"/>
      <c r="F1" s="4040"/>
      <c r="G1" s="4040"/>
      <c r="H1" s="4040"/>
    </row>
    <row r="2" spans="1:8" s="2005" customFormat="1" ht="17.399999999999999" customHeight="1">
      <c r="A2" s="4039" t="s">
        <v>2973</v>
      </c>
      <c r="B2" s="4039"/>
      <c r="C2" s="4039"/>
      <c r="D2" s="4039"/>
      <c r="E2" s="4039"/>
      <c r="F2" s="4039"/>
      <c r="G2" s="4039"/>
      <c r="H2" s="4039"/>
    </row>
    <row r="3" spans="1:8" ht="9" customHeight="1">
      <c r="A3" s="2004"/>
      <c r="B3" s="2004"/>
      <c r="C3" s="2004"/>
      <c r="D3" s="2004"/>
      <c r="E3" s="2004"/>
      <c r="G3" s="2004"/>
      <c r="H3" s="2004"/>
    </row>
    <row r="4" spans="1:8" ht="12.6" customHeight="1">
      <c r="A4" s="4041" t="s">
        <v>6832</v>
      </c>
      <c r="B4" s="4041"/>
      <c r="C4" s="2006"/>
      <c r="D4" s="4041" t="s">
        <v>6833</v>
      </c>
      <c r="E4" s="4041"/>
      <c r="F4" s="2007"/>
      <c r="G4" s="4041" t="s">
        <v>6834</v>
      </c>
      <c r="H4" s="4041"/>
    </row>
    <row r="5" spans="1:8" ht="25.95" customHeight="1">
      <c r="A5" s="4042" t="str">
        <f>'Part III-Sources of Funds'!E38</f>
        <v>United Bank</v>
      </c>
      <c r="B5" s="4043"/>
      <c r="C5" s="2005"/>
      <c r="D5" s="4042">
        <f>'Part III-Sources of Funds'!E39</f>
        <v>0</v>
      </c>
      <c r="E5" s="4043"/>
      <c r="F5" s="2008"/>
      <c r="G5" s="4042">
        <f>'Part III-Sources of Funds'!E40</f>
        <v>0</v>
      </c>
      <c r="H5" s="4043"/>
    </row>
    <row r="6" spans="1:8" ht="9" customHeight="1"/>
    <row r="7" spans="1:8" ht="15.6">
      <c r="A7" s="1179"/>
      <c r="B7" s="1179" t="s">
        <v>2974</v>
      </c>
      <c r="D7" s="1179"/>
      <c r="E7" s="1179" t="s">
        <v>2974</v>
      </c>
      <c r="G7" s="1179"/>
      <c r="H7" s="1179" t="s">
        <v>2974</v>
      </c>
    </row>
    <row r="8" spans="1:8" ht="15.6">
      <c r="A8" s="1216" t="s">
        <v>2416</v>
      </c>
      <c r="B8" s="1216" t="s">
        <v>2975</v>
      </c>
      <c r="D8" s="1216" t="s">
        <v>2416</v>
      </c>
      <c r="E8" s="1216" t="s">
        <v>2975</v>
      </c>
      <c r="G8" s="1216" t="s">
        <v>2416</v>
      </c>
      <c r="H8" s="1216" t="s">
        <v>2975</v>
      </c>
    </row>
    <row r="9" spans="1:8" ht="6" customHeight="1">
      <c r="A9" s="1180"/>
      <c r="B9" s="1180"/>
      <c r="D9" s="1180"/>
      <c r="E9" s="1180"/>
      <c r="G9" s="1180"/>
      <c r="H9" s="1180"/>
    </row>
    <row r="10" spans="1:8" ht="18" customHeight="1">
      <c r="A10" s="1181">
        <v>1</v>
      </c>
      <c r="B10" s="1182">
        <f>-'Part VII-Pro Forma'!$B25/12</f>
        <v>5295.4020163309115</v>
      </c>
      <c r="D10" s="1181">
        <v>1</v>
      </c>
      <c r="E10" s="1182">
        <f>-'Part VII-Pro Forma'!$B26/12</f>
        <v>0</v>
      </c>
      <c r="G10" s="1181">
        <v>1</v>
      </c>
      <c r="H10" s="1182">
        <f>-'Part VII-Pro Forma'!$B27/12</f>
        <v>0</v>
      </c>
    </row>
    <row r="11" spans="1:8" ht="18" customHeight="1">
      <c r="A11" s="1181">
        <v>2</v>
      </c>
      <c r="B11" s="1182">
        <f>-'Part VII-Pro Forma'!$C25/12</f>
        <v>5295.4020163309115</v>
      </c>
      <c r="D11" s="1181">
        <v>2</v>
      </c>
      <c r="E11" s="1182">
        <f>-'Part VII-Pro Forma'!$C26/12</f>
        <v>0</v>
      </c>
      <c r="G11" s="1181">
        <v>2</v>
      </c>
      <c r="H11" s="1182">
        <f>-'Part VII-Pro Forma'!$C27/12</f>
        <v>0</v>
      </c>
    </row>
    <row r="12" spans="1:8" ht="18" customHeight="1">
      <c r="A12" s="1181">
        <v>3</v>
      </c>
      <c r="B12" s="1182">
        <f>-'Part VII-Pro Forma'!$D25/12</f>
        <v>5295.4020163309115</v>
      </c>
      <c r="D12" s="1181">
        <v>3</v>
      </c>
      <c r="E12" s="1182">
        <f>-'Part VII-Pro Forma'!$D26/12</f>
        <v>0</v>
      </c>
      <c r="G12" s="1181">
        <v>3</v>
      </c>
      <c r="H12" s="1182">
        <f>-'Part VII-Pro Forma'!$D27/12</f>
        <v>0</v>
      </c>
    </row>
    <row r="13" spans="1:8" ht="18" customHeight="1">
      <c r="A13" s="1183">
        <v>4</v>
      </c>
      <c r="B13" s="1182">
        <f>-'Part VII-Pro Forma'!$E25/12</f>
        <v>5295.4020163309115</v>
      </c>
      <c r="D13" s="1183">
        <v>4</v>
      </c>
      <c r="E13" s="1182">
        <f>-'Part VII-Pro Forma'!$E26/12</f>
        <v>0</v>
      </c>
      <c r="G13" s="1183">
        <v>4</v>
      </c>
      <c r="H13" s="1182">
        <f>-'Part VII-Pro Forma'!$E27/12</f>
        <v>0</v>
      </c>
    </row>
    <row r="14" spans="1:8" ht="18" customHeight="1">
      <c r="A14" s="2011">
        <v>5</v>
      </c>
      <c r="B14" s="2010">
        <f>-'Part VII-Pro Forma'!$F25/12</f>
        <v>5295.4020163309115</v>
      </c>
      <c r="D14" s="2011">
        <v>5</v>
      </c>
      <c r="E14" s="2010">
        <f>-'Part VII-Pro Forma'!$F26/12</f>
        <v>0</v>
      </c>
      <c r="G14" s="2011">
        <v>5</v>
      </c>
      <c r="H14" s="2010">
        <f>-'Part VII-Pro Forma'!$F27/12</f>
        <v>0</v>
      </c>
    </row>
    <row r="15" spans="1:8" ht="18" customHeight="1">
      <c r="A15" s="1181">
        <v>6</v>
      </c>
      <c r="B15" s="1182">
        <f>-'Part VII-Pro Forma'!$G25/12</f>
        <v>5295.4020163309115</v>
      </c>
      <c r="D15" s="1181">
        <v>6</v>
      </c>
      <c r="E15" s="1182">
        <f>-'Part VII-Pro Forma'!$G26/12</f>
        <v>0</v>
      </c>
      <c r="G15" s="1181">
        <v>6</v>
      </c>
      <c r="H15" s="1182">
        <f>-'Part VII-Pro Forma'!$G27/12</f>
        <v>0</v>
      </c>
    </row>
    <row r="16" spans="1:8" ht="18" customHeight="1">
      <c r="A16" s="1181">
        <v>7</v>
      </c>
      <c r="B16" s="1182">
        <f>-'Part VII-Pro Forma'!$H25/12</f>
        <v>5295.4020163309115</v>
      </c>
      <c r="D16" s="1181">
        <v>7</v>
      </c>
      <c r="E16" s="1182">
        <f>-'Part VII-Pro Forma'!$H26/12</f>
        <v>0</v>
      </c>
      <c r="G16" s="1181">
        <v>7</v>
      </c>
      <c r="H16" s="1182">
        <f>-'Part VII-Pro Forma'!$H27/12</f>
        <v>0</v>
      </c>
    </row>
    <row r="17" spans="1:8" ht="18" customHeight="1">
      <c r="A17" s="1183">
        <v>8</v>
      </c>
      <c r="B17" s="1182">
        <f>-'Part VII-Pro Forma'!$I25/12</f>
        <v>5295.4020163309115</v>
      </c>
      <c r="D17" s="1183">
        <v>8</v>
      </c>
      <c r="E17" s="1182">
        <f>-'Part VII-Pro Forma'!$I26/12</f>
        <v>0</v>
      </c>
      <c r="G17" s="1183">
        <v>8</v>
      </c>
      <c r="H17" s="1182">
        <f>-'Part VII-Pro Forma'!$I27/12</f>
        <v>0</v>
      </c>
    </row>
    <row r="18" spans="1:8" ht="18" customHeight="1">
      <c r="A18" s="1181">
        <v>9</v>
      </c>
      <c r="B18" s="1182">
        <f>-'Part VII-Pro Forma'!$J25/12</f>
        <v>5295.4020163309115</v>
      </c>
      <c r="D18" s="1181">
        <v>9</v>
      </c>
      <c r="E18" s="1182">
        <f>-'Part VII-Pro Forma'!$J26/12</f>
        <v>0</v>
      </c>
      <c r="G18" s="1181">
        <v>9</v>
      </c>
      <c r="H18" s="1182">
        <f>-'Part VII-Pro Forma'!$J27/12</f>
        <v>0</v>
      </c>
    </row>
    <row r="19" spans="1:8" ht="18" customHeight="1">
      <c r="A19" s="2009">
        <v>10</v>
      </c>
      <c r="B19" s="2010">
        <f>-'Part VII-Pro Forma'!$K25/12</f>
        <v>5295.4020163309115</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5" t="str">
        <f>CONCATENATE("PART ONE - PROJECT INFORMATION"," - ",$O$6," ",$F$34,", ",'Part I-Project Information'!F38,", ",'Part I-Project Information'!J39," County")</f>
        <v>PART ONE - PROJECT INFORMATION - 2020-091 The Pointe at St. Martin, Hartwell, Hart County</v>
      </c>
      <c r="B1" s="2726"/>
      <c r="C1" s="2726"/>
      <c r="D1" s="2726"/>
      <c r="E1" s="2726"/>
      <c r="F1" s="2726"/>
      <c r="G1" s="2726"/>
      <c r="H1" s="2726"/>
      <c r="I1" s="2726"/>
      <c r="J1" s="2726"/>
      <c r="K1" s="2726"/>
      <c r="L1" s="2726"/>
      <c r="M1" s="2726"/>
      <c r="N1" s="2726"/>
      <c r="O1" s="2726"/>
      <c r="P1" s="2727"/>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39" t="s">
        <v>6980</v>
      </c>
      <c r="B3" s="2739"/>
      <c r="C3" s="2739"/>
      <c r="D3" s="2739"/>
      <c r="E3" s="2739"/>
      <c r="F3" s="2739"/>
      <c r="G3" s="2739"/>
      <c r="H3" s="2739"/>
      <c r="I3" s="2739"/>
      <c r="J3" s="2739"/>
      <c r="K3" s="2739"/>
      <c r="L3" s="2739"/>
      <c r="M3" s="2739"/>
      <c r="N3" s="2739"/>
      <c r="O3" s="2739"/>
      <c r="P3" s="2739"/>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1" t="s">
        <v>2304</v>
      </c>
      <c r="F5" s="294"/>
      <c r="G5" s="269" t="s">
        <v>4325</v>
      </c>
      <c r="L5" s="841"/>
      <c r="P5" s="1030" t="s">
        <v>3649</v>
      </c>
    </row>
    <row r="6" spans="1:16" s="293" customFormat="1" ht="12" customHeight="1" thickBot="1">
      <c r="B6" s="2740" t="s">
        <v>6984</v>
      </c>
      <c r="C6" s="2740"/>
      <c r="D6" s="2740"/>
      <c r="E6" s="1208"/>
      <c r="F6" s="296"/>
      <c r="G6" s="269" t="s">
        <v>4324</v>
      </c>
      <c r="H6" s="2358"/>
      <c r="I6" s="2358"/>
      <c r="J6" s="2358"/>
      <c r="O6" s="2728" t="s">
        <v>7176</v>
      </c>
      <c r="P6" s="2729"/>
    </row>
    <row r="7" spans="1:16" s="293" customFormat="1" ht="12" customHeight="1">
      <c r="B7" s="2740"/>
      <c r="C7" s="2740"/>
      <c r="D7" s="2740"/>
      <c r="E7" s="1208"/>
      <c r="F7" s="511"/>
      <c r="G7" s="172" t="s">
        <v>3213</v>
      </c>
      <c r="H7" s="2358"/>
      <c r="I7" s="2358"/>
      <c r="J7" s="2358"/>
    </row>
    <row r="8" spans="1:16" s="293" customFormat="1" ht="6" customHeight="1">
      <c r="A8" s="471"/>
      <c r="B8" s="2740"/>
      <c r="C8" s="2740"/>
      <c r="D8" s="2740"/>
      <c r="E8" s="2358"/>
      <c r="H8" s="2358"/>
      <c r="I8" s="2358"/>
      <c r="M8" s="2358"/>
    </row>
    <row r="9" spans="1:16" s="293" customFormat="1" ht="13.35" customHeight="1">
      <c r="A9" s="295" t="s">
        <v>598</v>
      </c>
      <c r="B9" s="295" t="s">
        <v>2315</v>
      </c>
      <c r="D9" s="270"/>
      <c r="E9" s="297"/>
      <c r="F9" s="2349" t="s">
        <v>3604</v>
      </c>
      <c r="I9" s="2730">
        <f>'Part IV-A-Uses of Funds'!$J$184</f>
        <v>800991</v>
      </c>
      <c r="J9" s="2731"/>
      <c r="L9" s="293" t="s">
        <v>3605</v>
      </c>
      <c r="O9" s="2732">
        <f>'Part III-Sources of Funds'!$H$5</f>
        <v>0</v>
      </c>
      <c r="P9" s="2733"/>
    </row>
    <row r="10" spans="1:16" s="293" customFormat="1" ht="6" customHeight="1">
      <c r="A10" s="295"/>
      <c r="B10" s="295"/>
      <c r="D10" s="270"/>
      <c r="E10" s="297"/>
      <c r="F10" s="297"/>
      <c r="I10" s="298"/>
      <c r="N10" s="299"/>
    </row>
    <row r="11" spans="1:16" s="293" customFormat="1" ht="13.35" customHeight="1">
      <c r="A11" s="298" t="s">
        <v>722</v>
      </c>
      <c r="B11" s="295" t="s">
        <v>1992</v>
      </c>
      <c r="F11" s="2734" t="s">
        <v>6985</v>
      </c>
      <c r="G11" s="2735"/>
      <c r="H11" s="2736"/>
      <c r="I11" s="2402" t="s">
        <v>3535</v>
      </c>
      <c r="J11" s="492" t="s">
        <v>4792</v>
      </c>
      <c r="K11" s="303"/>
      <c r="L11" s="2358"/>
      <c r="O11" s="2737" t="s">
        <v>7142</v>
      </c>
      <c r="P11" s="2738"/>
    </row>
    <row r="12" spans="1:16" s="293" customFormat="1" ht="12.75" customHeight="1">
      <c r="A12" s="471"/>
      <c r="B12" s="1519"/>
      <c r="C12" s="1519"/>
      <c r="D12" s="1519"/>
      <c r="E12" s="1519"/>
      <c r="H12" s="2358"/>
      <c r="J12" s="1140" t="s">
        <v>4461</v>
      </c>
      <c r="K12" s="2351"/>
      <c r="M12" s="2358"/>
      <c r="O12" s="2741" t="s">
        <v>2889</v>
      </c>
      <c r="P12" s="2742"/>
    </row>
    <row r="13" spans="1:16" s="293" customFormat="1" ht="3" customHeight="1">
      <c r="A13" s="471"/>
      <c r="B13" s="1519"/>
      <c r="C13" s="1519"/>
      <c r="D13" s="1519"/>
      <c r="E13" s="1519"/>
      <c r="H13" s="2358"/>
      <c r="J13" s="493"/>
      <c r="K13" s="2351"/>
      <c r="M13" s="2358"/>
    </row>
    <row r="14" spans="1:16" s="293" customFormat="1" ht="12.75" customHeight="1">
      <c r="A14" s="471"/>
      <c r="B14" s="1519" t="s">
        <v>4817</v>
      </c>
      <c r="C14" s="1519"/>
      <c r="D14" s="1519"/>
      <c r="E14" s="1519"/>
      <c r="F14" s="2403" t="s">
        <v>2889</v>
      </c>
      <c r="G14" s="2346" t="s">
        <v>4818</v>
      </c>
      <c r="N14" s="2734" t="s">
        <v>7074</v>
      </c>
      <c r="O14" s="2735"/>
      <c r="P14" s="2736"/>
    </row>
    <row r="15" spans="1:16" s="293" customFormat="1" ht="12.75" customHeight="1">
      <c r="A15" s="471"/>
      <c r="B15" s="293" t="s">
        <v>4800</v>
      </c>
      <c r="D15" s="303"/>
      <c r="F15" s="2746"/>
      <c r="G15" s="2747"/>
      <c r="H15" s="2747"/>
      <c r="I15" s="2748"/>
      <c r="J15" s="293" t="s">
        <v>4514</v>
      </c>
      <c r="L15" s="2696"/>
      <c r="M15" s="2697"/>
      <c r="N15" s="293" t="s">
        <v>4513</v>
      </c>
      <c r="P15" s="2404" t="s">
        <v>2889</v>
      </c>
    </row>
    <row r="16" spans="1:16" s="293" customFormat="1" ht="12.75" customHeight="1">
      <c r="A16" s="471"/>
      <c r="B16" s="293" t="s">
        <v>3603</v>
      </c>
      <c r="F16" s="2403" t="s">
        <v>2889</v>
      </c>
      <c r="G16" s="293" t="s">
        <v>4452</v>
      </c>
      <c r="H16" s="2358"/>
      <c r="I16" s="172"/>
      <c r="J16" s="493"/>
      <c r="N16" s="2749" t="s">
        <v>2783</v>
      </c>
      <c r="O16" s="2750"/>
      <c r="P16" s="2751"/>
    </row>
    <row r="17" spans="1:16" s="293" customFormat="1" ht="6" customHeight="1">
      <c r="I17" s="270"/>
      <c r="J17" s="270"/>
      <c r="K17" s="270"/>
      <c r="L17" s="270"/>
      <c r="M17" s="270"/>
      <c r="N17" s="270"/>
      <c r="O17" s="270"/>
      <c r="P17" s="270"/>
    </row>
    <row r="18" spans="1:16" s="293" customFormat="1" ht="13.35" customHeight="1">
      <c r="A18" s="298" t="s">
        <v>724</v>
      </c>
      <c r="B18" s="295" t="s">
        <v>4115</v>
      </c>
      <c r="D18" s="2349"/>
      <c r="E18" s="297"/>
      <c r="G18" s="300"/>
      <c r="H18" s="300"/>
      <c r="I18" s="300"/>
      <c r="L18" s="299"/>
    </row>
    <row r="19" spans="1:16" s="293" customFormat="1" ht="1.5" customHeight="1">
      <c r="A19" s="298"/>
      <c r="B19" s="297"/>
      <c r="C19" s="295"/>
      <c r="D19" s="2349"/>
      <c r="E19" s="297"/>
      <c r="G19" s="300"/>
      <c r="H19" s="300"/>
      <c r="I19" s="300"/>
      <c r="K19" s="299"/>
      <c r="L19" s="299"/>
      <c r="O19" s="841"/>
    </row>
    <row r="20" spans="1:16" s="293" customFormat="1" ht="13.35" customHeight="1">
      <c r="B20" s="293" t="s">
        <v>3656</v>
      </c>
      <c r="F20" s="2693" t="s">
        <v>7139</v>
      </c>
      <c r="G20" s="2694"/>
      <c r="H20" s="2695"/>
      <c r="I20" s="1402" t="s">
        <v>1753</v>
      </c>
      <c r="J20" s="2693" t="s">
        <v>7140</v>
      </c>
      <c r="K20" s="2694"/>
      <c r="L20" s="2695"/>
      <c r="M20" s="325" t="s">
        <v>1933</v>
      </c>
      <c r="N20" s="2696" t="s">
        <v>7141</v>
      </c>
      <c r="O20" s="2682"/>
      <c r="P20" s="2697"/>
    </row>
    <row r="21" spans="1:16" s="293" customFormat="1" ht="13.35" customHeight="1">
      <c r="B21" s="2349" t="s">
        <v>1934</v>
      </c>
      <c r="F21" s="2698" t="s">
        <v>7143</v>
      </c>
      <c r="G21" s="2699"/>
      <c r="H21" s="2699"/>
      <c r="I21" s="2681"/>
      <c r="J21" s="2699"/>
      <c r="K21" s="2700"/>
      <c r="L21" s="2701"/>
      <c r="M21" s="2702" t="s">
        <v>3655</v>
      </c>
      <c r="N21" s="2703"/>
      <c r="O21" s="2703"/>
      <c r="P21" s="2703"/>
    </row>
    <row r="22" spans="1:16" s="293" customFormat="1" ht="13.35" customHeight="1">
      <c r="B22" s="2349" t="s">
        <v>600</v>
      </c>
      <c r="F22" s="2698" t="s">
        <v>7144</v>
      </c>
      <c r="G22" s="2699"/>
      <c r="H22" s="2704"/>
      <c r="I22" s="2349" t="s">
        <v>1754</v>
      </c>
      <c r="J22" s="2405" t="s">
        <v>818</v>
      </c>
      <c r="M22" s="2702"/>
      <c r="N22" s="2702"/>
      <c r="O22" s="2702"/>
      <c r="P22" s="2702"/>
    </row>
    <row r="23" spans="1:16" s="293" customFormat="1" ht="13.35" customHeight="1">
      <c r="B23" s="2346" t="s">
        <v>2173</v>
      </c>
      <c r="F23" s="2686">
        <v>354061835</v>
      </c>
      <c r="G23" s="2687"/>
      <c r="H23" s="2688"/>
      <c r="I23" s="2349" t="s">
        <v>1678</v>
      </c>
      <c r="J23" s="2689">
        <v>2057229331</v>
      </c>
      <c r="K23" s="2692"/>
      <c r="L23" s="2352" t="s">
        <v>1677</v>
      </c>
      <c r="M23" s="2406"/>
      <c r="N23" s="2346" t="s">
        <v>1679</v>
      </c>
      <c r="O23" s="2691">
        <v>2057229331</v>
      </c>
      <c r="P23" s="2692"/>
    </row>
    <row r="24" spans="1:16" s="293" customFormat="1" ht="13.35" customHeight="1">
      <c r="B24" s="2346" t="s">
        <v>1937</v>
      </c>
      <c r="F24" s="2680" t="s">
        <v>7145</v>
      </c>
      <c r="G24" s="2681"/>
      <c r="H24" s="2681"/>
      <c r="I24" s="2682"/>
      <c r="J24" s="2681"/>
      <c r="K24" s="2683"/>
      <c r="N24" s="2346" t="s">
        <v>1932</v>
      </c>
      <c r="O24" s="2684">
        <v>2053948000</v>
      </c>
      <c r="P24" s="2685"/>
    </row>
    <row r="25" spans="1:16" s="293" customFormat="1" ht="13.5" customHeight="1">
      <c r="A25" s="471"/>
      <c r="B25" s="295" t="s">
        <v>4114</v>
      </c>
      <c r="C25" s="301"/>
      <c r="D25" s="2357"/>
      <c r="E25" s="2357"/>
      <c r="F25" s="2357"/>
      <c r="H25" s="2358"/>
      <c r="I25" s="2357"/>
      <c r="J25" s="301"/>
      <c r="K25" s="2357"/>
      <c r="P25" s="302"/>
    </row>
    <row r="26" spans="1:16" s="293" customFormat="1" ht="13.35" customHeight="1">
      <c r="B26" s="293" t="s">
        <v>3656</v>
      </c>
      <c r="F26" s="2705" t="s">
        <v>6986</v>
      </c>
      <c r="G26" s="2706"/>
      <c r="H26" s="2707"/>
      <c r="I26" s="1402" t="s">
        <v>1753</v>
      </c>
      <c r="J26" s="2693" t="s">
        <v>6987</v>
      </c>
      <c r="K26" s="2694"/>
      <c r="L26" s="2695"/>
      <c r="M26" s="325" t="s">
        <v>1933</v>
      </c>
      <c r="N26" s="2696" t="s">
        <v>7146</v>
      </c>
      <c r="O26" s="2682"/>
      <c r="P26" s="2697"/>
    </row>
    <row r="27" spans="1:16" s="293" customFormat="1" ht="13.35" customHeight="1">
      <c r="B27" s="2349" t="s">
        <v>1934</v>
      </c>
      <c r="F27" s="2698" t="s">
        <v>6988</v>
      </c>
      <c r="G27" s="2699"/>
      <c r="H27" s="2699"/>
      <c r="I27" s="2681"/>
      <c r="J27" s="2699"/>
      <c r="K27" s="2700"/>
      <c r="L27" s="2701"/>
      <c r="M27" s="2702" t="s">
        <v>3655</v>
      </c>
      <c r="N27" s="2703"/>
      <c r="O27" s="2703"/>
      <c r="P27" s="2703"/>
    </row>
    <row r="28" spans="1:16" s="293" customFormat="1" ht="13.35" customHeight="1">
      <c r="B28" s="2349" t="s">
        <v>600</v>
      </c>
      <c r="F28" s="2698" t="s">
        <v>6989</v>
      </c>
      <c r="G28" s="2699"/>
      <c r="H28" s="2704"/>
      <c r="I28" s="2349" t="s">
        <v>1754</v>
      </c>
      <c r="J28" s="2405" t="s">
        <v>818</v>
      </c>
      <c r="M28" s="2702"/>
      <c r="N28" s="2702"/>
      <c r="O28" s="2702"/>
      <c r="P28" s="2702"/>
    </row>
    <row r="29" spans="1:16" s="293" customFormat="1" ht="13.35" customHeight="1">
      <c r="B29" s="2346" t="s">
        <v>2173</v>
      </c>
      <c r="F29" s="2686">
        <v>359713484</v>
      </c>
      <c r="G29" s="2687"/>
      <c r="H29" s="2688"/>
      <c r="I29" s="2349" t="s">
        <v>1678</v>
      </c>
      <c r="J29" s="2689">
        <v>2564174920</v>
      </c>
      <c r="K29" s="2690"/>
      <c r="L29" s="2352" t="s">
        <v>1677</v>
      </c>
      <c r="M29" s="2406">
        <v>224</v>
      </c>
      <c r="N29" s="2346" t="s">
        <v>1679</v>
      </c>
      <c r="O29" s="2691">
        <v>4047887162</v>
      </c>
      <c r="P29" s="2692"/>
    </row>
    <row r="30" spans="1:16" s="293" customFormat="1" ht="13.35" customHeight="1">
      <c r="B30" s="2346" t="s">
        <v>1937</v>
      </c>
      <c r="F30" s="2680" t="s">
        <v>6990</v>
      </c>
      <c r="G30" s="2681"/>
      <c r="H30" s="2681"/>
      <c r="I30" s="2682"/>
      <c r="J30" s="2681"/>
      <c r="K30" s="2683"/>
      <c r="N30" s="2346" t="s">
        <v>1932</v>
      </c>
      <c r="O30" s="2684">
        <v>4047887162</v>
      </c>
      <c r="P30" s="2685"/>
    </row>
    <row r="31" spans="1:16" s="293" customFormat="1" ht="6" customHeight="1">
      <c r="A31" s="471"/>
      <c r="B31" s="471"/>
      <c r="C31" s="301"/>
      <c r="D31" s="2357"/>
      <c r="E31" s="2357"/>
      <c r="F31" s="2357"/>
      <c r="H31" s="2358"/>
      <c r="I31" s="2357"/>
      <c r="J31" s="301"/>
      <c r="K31" s="2357"/>
      <c r="P31" s="302"/>
    </row>
    <row r="32" spans="1:16" s="293" customFormat="1" ht="13.35" customHeight="1">
      <c r="A32" s="298" t="s">
        <v>1748</v>
      </c>
      <c r="B32" s="295" t="s">
        <v>1443</v>
      </c>
      <c r="D32" s="270"/>
      <c r="E32" s="297"/>
      <c r="F32" s="297"/>
      <c r="G32" s="2349"/>
      <c r="H32" s="297"/>
      <c r="I32" s="297"/>
      <c r="J32" s="300"/>
      <c r="L32" s="299"/>
      <c r="M32" s="299"/>
    </row>
    <row r="33" spans="1:16" s="293" customFormat="1" ht="1.5" customHeight="1">
      <c r="A33" s="298"/>
      <c r="B33" s="295"/>
      <c r="D33" s="270"/>
      <c r="E33" s="297"/>
      <c r="F33" s="297"/>
      <c r="G33" s="2349"/>
      <c r="H33" s="297"/>
      <c r="I33" s="297"/>
      <c r="J33" s="300"/>
      <c r="L33" s="299"/>
    </row>
    <row r="34" spans="1:16" s="293" customFormat="1" ht="13.35" customHeight="1">
      <c r="A34" s="295"/>
      <c r="B34" s="293" t="s">
        <v>599</v>
      </c>
      <c r="D34" s="303"/>
      <c r="F34" s="2693" t="s">
        <v>6995</v>
      </c>
      <c r="G34" s="2694"/>
      <c r="H34" s="2694"/>
      <c r="I34" s="2694"/>
      <c r="J34" s="2694"/>
      <c r="K34" s="2695"/>
      <c r="L34" s="2346" t="s">
        <v>2142</v>
      </c>
      <c r="O34" s="2705" t="s">
        <v>2889</v>
      </c>
      <c r="P34" s="2707"/>
    </row>
    <row r="35" spans="1:16" s="293" customFormat="1" ht="13.35" customHeight="1">
      <c r="A35" s="304"/>
      <c r="B35" s="293" t="s">
        <v>2620</v>
      </c>
      <c r="D35" s="305"/>
      <c r="F35" s="2743" t="s">
        <v>7075</v>
      </c>
      <c r="G35" s="2744"/>
      <c r="H35" s="2744"/>
      <c r="I35" s="2744"/>
      <c r="J35" s="2744"/>
      <c r="K35" s="2745"/>
      <c r="L35" s="293" t="s">
        <v>3507</v>
      </c>
      <c r="O35" s="2714"/>
      <c r="P35" s="2704"/>
    </row>
    <row r="36" spans="1:16" s="293" customFormat="1" ht="13.35" customHeight="1">
      <c r="A36" s="304"/>
      <c r="B36" s="293" t="s">
        <v>2649</v>
      </c>
      <c r="D36" s="305"/>
      <c r="F36" s="2743" t="s">
        <v>7075</v>
      </c>
      <c r="G36" s="2744"/>
      <c r="H36" s="2744"/>
      <c r="I36" s="2744"/>
      <c r="J36" s="2744"/>
      <c r="K36" s="2745"/>
      <c r="L36" s="2346" t="s">
        <v>2002</v>
      </c>
      <c r="N36" s="2406" t="s">
        <v>2889</v>
      </c>
      <c r="O36" s="2358" t="s">
        <v>3506</v>
      </c>
      <c r="P36" s="2407">
        <v>1</v>
      </c>
    </row>
    <row r="37" spans="1:16" s="293" customFormat="1" ht="13.35" customHeight="1">
      <c r="A37" s="304"/>
      <c r="B37" s="293" t="s">
        <v>3553</v>
      </c>
      <c r="D37" s="305"/>
      <c r="F37" s="293" t="s">
        <v>3536</v>
      </c>
      <c r="G37" s="2778">
        <v>34.357888000000003</v>
      </c>
      <c r="H37" s="2779"/>
      <c r="I37" s="2352" t="s">
        <v>3537</v>
      </c>
      <c r="J37" s="2778">
        <v>-82.914888000000005</v>
      </c>
      <c r="K37" s="2779"/>
      <c r="L37" s="2346" t="s">
        <v>2225</v>
      </c>
      <c r="O37" s="2782">
        <v>8.6460000000000008</v>
      </c>
      <c r="P37" s="2783"/>
    </row>
    <row r="38" spans="1:16" s="293" customFormat="1" ht="13.35" customHeight="1">
      <c r="A38" s="471"/>
      <c r="B38" s="293" t="s">
        <v>600</v>
      </c>
      <c r="F38" s="2705" t="s">
        <v>846</v>
      </c>
      <c r="G38" s="2723"/>
      <c r="H38" s="2724"/>
      <c r="I38" s="309" t="s">
        <v>2621</v>
      </c>
      <c r="J38" s="2686">
        <v>306430000</v>
      </c>
      <c r="K38" s="2688"/>
      <c r="L38" s="363" t="str">
        <f>IF(AND(NOT(F34=""),NOT(F38="Select from list"),J38=""),"Enter Zip!","")</f>
        <v/>
      </c>
      <c r="M38" s="307" t="s">
        <v>2803</v>
      </c>
      <c r="O38" s="2780" t="s">
        <v>7077</v>
      </c>
      <c r="P38" s="2781"/>
    </row>
    <row r="39" spans="1:16" s="293" customFormat="1" ht="13.35" customHeight="1">
      <c r="A39" s="471"/>
      <c r="B39" s="2357" t="s">
        <v>4489</v>
      </c>
      <c r="D39" s="2357"/>
      <c r="F39" s="2714" t="s">
        <v>7076</v>
      </c>
      <c r="G39" s="2700"/>
      <c r="H39" s="2701"/>
      <c r="I39" s="306" t="s">
        <v>601</v>
      </c>
      <c r="J39" s="2715" t="str">
        <f>IF(F38="","",VLOOKUP(F38,'DCA Underwriting Assumptions'!$T$173:$U$801,2,FALSE))</f>
        <v>Hart</v>
      </c>
      <c r="K39" s="2716"/>
      <c r="M39" s="2346" t="s">
        <v>442</v>
      </c>
      <c r="N39" s="2408" t="s">
        <v>2889</v>
      </c>
      <c r="O39" s="2358" t="s">
        <v>443</v>
      </c>
      <c r="P39" s="2404" t="s">
        <v>2889</v>
      </c>
    </row>
    <row r="40" spans="1:16" s="293" customFormat="1" ht="13.35" customHeight="1">
      <c r="A40" s="471"/>
      <c r="B40" s="295"/>
      <c r="C40" s="293" t="s">
        <v>1525</v>
      </c>
      <c r="F40" s="2409" t="s">
        <v>2886</v>
      </c>
      <c r="G40" s="2717" t="s">
        <v>2690</v>
      </c>
      <c r="H40" s="2718"/>
      <c r="I40" s="499" t="str">
        <f>IF($J$39="","",IF(VLOOKUP($J$39,'DCA Underwriting Assumptions'!G173:M332,7,FALSE)="Rural","Yes",IF(VLOOKUP($J$39,'DCA Underwriting Assumptions'!G173:M332,7,FALSE)="Urban","No","")))</f>
        <v>Yes</v>
      </c>
      <c r="J40" s="2352" t="s">
        <v>2708</v>
      </c>
      <c r="K40" s="1557" t="str">
        <f>IF(OR(F40="Yes",I40="Yes"),"Rural","Urban")</f>
        <v>Rural</v>
      </c>
      <c r="M40" s="2346" t="s">
        <v>2544</v>
      </c>
      <c r="N40" s="1558" t="str">
        <f>VLOOKUP($J$39,'DCA Underwriting Assumptions'!$G$173:$J$332,4)</f>
        <v>Non-MSA</v>
      </c>
      <c r="O40" s="2719" t="str">
        <f>IF($F$38="","",VLOOKUP($J$39,'DCA Underwriting Assumptions'!$G$173:$L$332,3,FALSE))</f>
        <v>Hart Co.</v>
      </c>
      <c r="P40" s="2720"/>
    </row>
    <row r="41" spans="1:16" s="293" customFormat="1" ht="6" customHeight="1">
      <c r="A41" s="471"/>
      <c r="B41" s="295"/>
      <c r="C41" s="295"/>
      <c r="I41" s="2349"/>
      <c r="J41" s="2357"/>
      <c r="L41" s="2369"/>
      <c r="M41" s="2369"/>
      <c r="N41" s="2369"/>
      <c r="O41" s="2369"/>
      <c r="P41" s="2369"/>
    </row>
    <row r="42" spans="1:16" s="293" customFormat="1" ht="13.35" customHeight="1">
      <c r="A42" s="471"/>
      <c r="C42" s="293" t="s">
        <v>2658</v>
      </c>
      <c r="F42" s="2721" t="s">
        <v>2673</v>
      </c>
      <c r="G42" s="2721"/>
      <c r="H42" s="2722" t="s">
        <v>718</v>
      </c>
      <c r="I42" s="2722"/>
      <c r="J42" s="2722" t="s">
        <v>719</v>
      </c>
      <c r="K42" s="2722"/>
      <c r="L42" s="486" t="s">
        <v>4379</v>
      </c>
    </row>
    <row r="43" spans="1:16" s="293" customFormat="1" ht="13.35" customHeight="1">
      <c r="A43" s="471"/>
      <c r="B43" s="293" t="s">
        <v>2672</v>
      </c>
      <c r="D43" s="295"/>
      <c r="F43" s="2708">
        <v>9</v>
      </c>
      <c r="G43" s="2709"/>
      <c r="H43" s="2708">
        <v>24</v>
      </c>
      <c r="I43" s="2709"/>
      <c r="J43" s="2708">
        <v>32</v>
      </c>
      <c r="K43" s="2709"/>
      <c r="L43" s="482" t="s">
        <v>1257</v>
      </c>
      <c r="N43" s="2710" t="s">
        <v>1258</v>
      </c>
      <c r="O43" s="2710"/>
      <c r="P43" s="2710"/>
    </row>
    <row r="44" spans="1:16" s="293" customFormat="1" ht="12.75" customHeight="1">
      <c r="A44" s="471"/>
      <c r="B44" s="2349" t="s">
        <v>720</v>
      </c>
      <c r="F44" s="2711"/>
      <c r="G44" s="2712"/>
      <c r="H44" s="2711"/>
      <c r="I44" s="2712"/>
      <c r="J44" s="2711"/>
      <c r="K44" s="2712"/>
      <c r="L44" s="482" t="s">
        <v>2671</v>
      </c>
      <c r="N44" s="2713" t="s">
        <v>2670</v>
      </c>
      <c r="O44" s="2713"/>
    </row>
    <row r="45" spans="1:16" s="293" customFormat="1" ht="3" customHeight="1">
      <c r="A45" s="471"/>
      <c r="I45" s="2369"/>
      <c r="J45" s="2369"/>
      <c r="K45" s="2369"/>
      <c r="L45" s="2357"/>
      <c r="M45" s="2357"/>
      <c r="N45" s="2357"/>
      <c r="O45" s="2357"/>
      <c r="P45" s="2357"/>
    </row>
    <row r="46" spans="1:16" s="293" customFormat="1" ht="13.35" customHeight="1">
      <c r="A46" s="471"/>
      <c r="B46" s="295" t="s">
        <v>619</v>
      </c>
      <c r="F46" s="2755" t="s">
        <v>7078</v>
      </c>
      <c r="G46" s="2756"/>
      <c r="H46" s="2756"/>
      <c r="I46" s="2757"/>
      <c r="J46" s="2756"/>
      <c r="K46" s="2758"/>
      <c r="L46" s="840" t="s">
        <v>2625</v>
      </c>
      <c r="M46" s="2696" t="s">
        <v>6992</v>
      </c>
      <c r="N46" s="2682"/>
      <c r="O46" s="2682"/>
      <c r="P46" s="2697"/>
    </row>
    <row r="47" spans="1:16" s="293" customFormat="1" ht="13.35" customHeight="1">
      <c r="A47" s="471"/>
      <c r="B47" s="293" t="s">
        <v>620</v>
      </c>
      <c r="F47" s="2759" t="s">
        <v>7079</v>
      </c>
      <c r="G47" s="2760"/>
      <c r="H47" s="2761"/>
      <c r="I47" s="1007" t="s">
        <v>1933</v>
      </c>
      <c r="J47" s="2743" t="s">
        <v>7080</v>
      </c>
      <c r="K47" s="2745"/>
      <c r="L47" s="840"/>
    </row>
    <row r="48" spans="1:16" s="293" customFormat="1" ht="13.35" customHeight="1">
      <c r="A48" s="471"/>
      <c r="B48" s="293" t="s">
        <v>1934</v>
      </c>
      <c r="F48" s="2762" t="s">
        <v>7105</v>
      </c>
      <c r="G48" s="2763"/>
      <c r="H48" s="2764"/>
      <c r="I48" s="2756"/>
      <c r="J48" s="2763"/>
      <c r="K48" s="2765"/>
      <c r="L48" s="2350" t="s">
        <v>600</v>
      </c>
      <c r="M48" s="2766" t="s">
        <v>846</v>
      </c>
      <c r="N48" s="2767"/>
      <c r="O48" s="2767"/>
      <c r="P48" s="2768"/>
    </row>
    <row r="49" spans="1:19" s="293" customFormat="1" ht="13.35" customHeight="1">
      <c r="A49" s="471"/>
      <c r="B49" s="2346" t="s">
        <v>2173</v>
      </c>
      <c r="F49" s="2770">
        <v>306432194</v>
      </c>
      <c r="G49" s="2771"/>
      <c r="H49" s="2352" t="s">
        <v>1935</v>
      </c>
      <c r="I49" s="2772">
        <v>7063764756</v>
      </c>
      <c r="J49" s="2773"/>
      <c r="K49" s="2774"/>
      <c r="L49" s="2349" t="s">
        <v>1755</v>
      </c>
      <c r="M49" s="2775" t="s">
        <v>7081</v>
      </c>
      <c r="N49" s="2776"/>
      <c r="O49" s="2776"/>
      <c r="P49" s="2777"/>
    </row>
    <row r="50" spans="1:19" s="293" customFormat="1" ht="6" customHeight="1">
      <c r="A50" s="471"/>
      <c r="B50" s="471"/>
      <c r="C50" s="308"/>
      <c r="D50" s="309"/>
      <c r="E50" s="309"/>
      <c r="F50" s="2358"/>
      <c r="G50" s="2358"/>
      <c r="H50" s="2358"/>
      <c r="I50" s="2358"/>
      <c r="J50" s="309"/>
      <c r="K50" s="2358"/>
      <c r="L50" s="2358"/>
      <c r="N50" s="2357"/>
      <c r="O50" s="2357"/>
      <c r="P50" s="302"/>
    </row>
    <row r="51" spans="1:19" s="293" customFormat="1" ht="12" customHeight="1">
      <c r="A51" s="298" t="s">
        <v>1750</v>
      </c>
      <c r="B51" s="295" t="s">
        <v>1444</v>
      </c>
      <c r="F51" s="310"/>
      <c r="I51" s="2346"/>
      <c r="J51" s="2357"/>
      <c r="K51" s="2357"/>
      <c r="L51" s="2357"/>
      <c r="M51" s="2357"/>
    </row>
    <row r="52" spans="1:19" s="293" customFormat="1" ht="1.5" customHeight="1">
      <c r="A52" s="471"/>
      <c r="B52" s="295"/>
      <c r="C52" s="295"/>
      <c r="I52" s="2346"/>
      <c r="J52" s="2357"/>
      <c r="K52" s="2357"/>
      <c r="L52" s="2357"/>
      <c r="M52" s="2357"/>
      <c r="N52" s="2357"/>
      <c r="O52" s="2357"/>
      <c r="P52" s="2357"/>
      <c r="Q52" s="2357"/>
    </row>
    <row r="53" spans="1:19" s="293" customFormat="1">
      <c r="A53" s="471"/>
      <c r="B53" s="471" t="s">
        <v>1936</v>
      </c>
      <c r="C53" s="295" t="s">
        <v>700</v>
      </c>
      <c r="I53" s="2357"/>
      <c r="J53" s="2357"/>
      <c r="K53" s="483"/>
      <c r="L53" s="2357"/>
      <c r="M53" s="485"/>
      <c r="N53" s="485"/>
      <c r="O53" s="485"/>
      <c r="P53" s="485"/>
      <c r="Q53" s="2358"/>
    </row>
    <row r="54" spans="1:19" ht="13.35" customHeight="1">
      <c r="B54" s="471"/>
      <c r="C54" s="293" t="s">
        <v>2237</v>
      </c>
      <c r="D54" s="293"/>
      <c r="E54" s="293"/>
      <c r="H54" s="1024">
        <f>'Part VI-Revenues &amp; Expenses'!$P$115</f>
        <v>60</v>
      </c>
      <c r="K54" s="2349" t="s">
        <v>3499</v>
      </c>
      <c r="L54" s="293"/>
      <c r="M54" s="883" t="s">
        <v>3498</v>
      </c>
      <c r="N54" s="312">
        <f>'Part VI-Revenues &amp; Expenses'!$P$122</f>
        <v>0</v>
      </c>
      <c r="O54" s="884" t="s">
        <v>3251</v>
      </c>
      <c r="P54" s="312">
        <f>'Part VI-Revenues &amp; Expenses'!$P$123</f>
        <v>0</v>
      </c>
      <c r="Q54" s="2358"/>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9" t="s">
        <v>341</v>
      </c>
      <c r="D56" s="2357"/>
      <c r="H56" s="1026">
        <f>'Part VI-Revenues &amp; Expenses'!$P$118</f>
        <v>0</v>
      </c>
      <c r="I56" s="472" t="s">
        <v>2807</v>
      </c>
      <c r="K56" s="293" t="s">
        <v>343</v>
      </c>
      <c r="P56" s="2410"/>
      <c r="Q56" s="2358"/>
    </row>
    <row r="57" spans="1:19" s="293" customFormat="1" ht="3.6" customHeight="1">
      <c r="A57" s="471"/>
      <c r="P57" s="2357"/>
    </row>
    <row r="58" spans="1:19" s="293" customFormat="1">
      <c r="A58" s="471"/>
      <c r="B58" s="471" t="s">
        <v>1938</v>
      </c>
      <c r="C58" s="295" t="s">
        <v>2238</v>
      </c>
      <c r="H58" s="2411" t="s">
        <v>2889</v>
      </c>
      <c r="K58" s="2357"/>
      <c r="L58" s="2357"/>
      <c r="M58" s="2357"/>
      <c r="N58" s="2357"/>
      <c r="O58" s="485"/>
      <c r="P58" s="483"/>
      <c r="Q58" s="2357"/>
    </row>
    <row r="59" spans="1:19" s="293" customFormat="1" ht="3" customHeight="1">
      <c r="A59" s="471"/>
      <c r="I59" s="2357"/>
      <c r="J59" s="483"/>
      <c r="K59" s="484"/>
      <c r="L59" s="483"/>
      <c r="M59" s="484"/>
      <c r="N59" s="484"/>
      <c r="O59" s="484"/>
      <c r="P59" s="484"/>
      <c r="Q59" s="2357"/>
    </row>
    <row r="60" spans="1:19" s="293" customFormat="1" ht="13.35" customHeight="1">
      <c r="A60" s="471"/>
      <c r="B60" s="304" t="s">
        <v>731</v>
      </c>
      <c r="C60" s="303" t="s">
        <v>2218</v>
      </c>
      <c r="D60" s="2357"/>
      <c r="I60" s="2361" t="s">
        <v>3433</v>
      </c>
      <c r="J60" s="304" t="s">
        <v>2065</v>
      </c>
      <c r="K60" s="314" t="s">
        <v>2243</v>
      </c>
      <c r="M60" s="2357"/>
      <c r="N60" s="2357"/>
      <c r="O60" s="2357"/>
      <c r="P60" s="2358"/>
      <c r="Q60" s="2358"/>
      <c r="R60" s="2358"/>
      <c r="S60" s="2357"/>
    </row>
    <row r="61" spans="1:19" s="293" customFormat="1" ht="13.35" customHeight="1">
      <c r="A61" s="471"/>
      <c r="B61" s="2347"/>
      <c r="C61" s="301" t="s">
        <v>2219</v>
      </c>
      <c r="D61" s="2357"/>
      <c r="E61" s="2357"/>
      <c r="H61" s="605">
        <f>SUM(H62:H68)</f>
        <v>60</v>
      </c>
      <c r="I61" s="605">
        <f>SUM(I62:I68)</f>
        <v>0</v>
      </c>
      <c r="J61" s="471"/>
      <c r="K61" s="301" t="s">
        <v>2682</v>
      </c>
      <c r="M61" s="2357"/>
      <c r="N61" s="2357"/>
      <c r="O61" s="2357"/>
      <c r="P61" s="1346">
        <f>SUM(P62:P68)</f>
        <v>65436</v>
      </c>
    </row>
    <row r="62" spans="1:19" s="293" customFormat="1" ht="13.35" customHeight="1">
      <c r="A62" s="471"/>
      <c r="B62" s="2347"/>
      <c r="C62" s="301"/>
      <c r="D62" s="316" t="s">
        <v>4216</v>
      </c>
      <c r="E62" s="2357"/>
      <c r="H62" s="818">
        <f>'Part VI-Revenues &amp; Expenses'!$P$56</f>
        <v>0</v>
      </c>
      <c r="I62" s="818">
        <f>'Part VI-Revenues &amp; Expenses'!$P$93</f>
        <v>0</v>
      </c>
      <c r="J62" s="471"/>
      <c r="K62" s="301"/>
      <c r="L62" s="316" t="s">
        <v>4216</v>
      </c>
      <c r="M62" s="2357"/>
      <c r="N62" s="2357"/>
      <c r="O62" s="2357"/>
      <c r="P62" s="818">
        <f>'Part VI-Revenues &amp; Expenses'!$P$159</f>
        <v>0</v>
      </c>
    </row>
    <row r="63" spans="1:19" s="293" customFormat="1" ht="13.35" customHeight="1">
      <c r="A63" s="471"/>
      <c r="B63" s="2347"/>
      <c r="C63" s="301"/>
      <c r="D63" s="316" t="s">
        <v>4217</v>
      </c>
      <c r="E63" s="2357"/>
      <c r="H63" s="1348">
        <f>'Part VI-Revenues &amp; Expenses'!$P$57</f>
        <v>0</v>
      </c>
      <c r="I63" s="1348">
        <f>'Part VI-Revenues &amp; Expenses'!$P$94</f>
        <v>0</v>
      </c>
      <c r="J63" s="471"/>
      <c r="K63" s="301"/>
      <c r="L63" s="316" t="s">
        <v>4217</v>
      </c>
      <c r="M63" s="2357"/>
      <c r="N63" s="2357"/>
      <c r="O63" s="2357"/>
      <c r="P63" s="1348">
        <f>'Part VI-Revenues &amp; Expenses'!$P$160</f>
        <v>0</v>
      </c>
    </row>
    <row r="64" spans="1:19" s="293" customFormat="1" ht="13.35" customHeight="1">
      <c r="A64" s="471"/>
      <c r="B64" s="311"/>
      <c r="D64" s="316" t="s">
        <v>4214</v>
      </c>
      <c r="E64" s="316"/>
      <c r="H64" s="1348">
        <f>'Part VI-Revenues &amp; Expenses'!$P$58</f>
        <v>48</v>
      </c>
      <c r="I64" s="1348">
        <f>'Part VI-Revenues &amp; Expenses'!$P$95</f>
        <v>0</v>
      </c>
      <c r="L64" s="316" t="s">
        <v>4214</v>
      </c>
      <c r="O64" s="2357"/>
      <c r="P64" s="1348">
        <f>'Part VI-Revenues &amp; Expenses'!$P$161</f>
        <v>52242</v>
      </c>
    </row>
    <row r="65" spans="1:16" s="293" customFormat="1" ht="13.35" customHeight="1">
      <c r="A65" s="471"/>
      <c r="D65" s="316" t="s">
        <v>4215</v>
      </c>
      <c r="E65" s="2357"/>
      <c r="H65" s="1348">
        <f>'Part VI-Revenues &amp; Expenses'!$P$59</f>
        <v>12</v>
      </c>
      <c r="I65" s="1348">
        <f>'Part VI-Revenues &amp; Expenses'!$P$96</f>
        <v>0</v>
      </c>
      <c r="L65" s="316" t="s">
        <v>4215</v>
      </c>
      <c r="O65" s="2357"/>
      <c r="P65" s="1348">
        <f>'Part VI-Revenues &amp; Expenses'!$P$162</f>
        <v>13194</v>
      </c>
    </row>
    <row r="66" spans="1:16" s="293" customFormat="1" ht="13.35" customHeight="1">
      <c r="A66" s="471"/>
      <c r="D66" s="316" t="s">
        <v>4218</v>
      </c>
      <c r="E66" s="316"/>
      <c r="H66" s="1348">
        <f>'Part VI-Revenues &amp; Expenses'!$P$60</f>
        <v>0</v>
      </c>
      <c r="I66" s="1348">
        <f>'Part VI-Revenues &amp; Expenses'!$P$97</f>
        <v>0</v>
      </c>
      <c r="L66" s="316" t="s">
        <v>4218</v>
      </c>
      <c r="O66" s="2357"/>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7"/>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7"/>
      <c r="P68" s="819">
        <f>'Part VI-Revenues &amp; Expenses'!$P$165</f>
        <v>0</v>
      </c>
    </row>
    <row r="69" spans="1:16" s="293" customFormat="1" ht="13.35" customHeight="1">
      <c r="A69" s="471"/>
      <c r="C69" s="301" t="s">
        <v>248</v>
      </c>
      <c r="D69" s="2357"/>
      <c r="E69" s="2357"/>
      <c r="H69" s="1347">
        <f>'Part VI-Revenues &amp; Expenses'!$P$64</f>
        <v>0</v>
      </c>
      <c r="J69" s="471"/>
      <c r="K69" s="301" t="s">
        <v>2683</v>
      </c>
      <c r="M69" s="2357"/>
      <c r="N69" s="2357"/>
      <c r="O69" s="2357"/>
      <c r="P69" s="1349">
        <f>'Part VI-Revenues &amp; Expenses'!$P$167</f>
        <v>0</v>
      </c>
    </row>
    <row r="70" spans="1:16" s="293" customFormat="1" ht="13.35" customHeight="1">
      <c r="A70" s="471"/>
      <c r="C70" s="301" t="s">
        <v>2345</v>
      </c>
      <c r="D70" s="2357"/>
      <c r="E70" s="2357"/>
      <c r="H70" s="818">
        <f>H61+H69</f>
        <v>60</v>
      </c>
      <c r="J70" s="471"/>
      <c r="K70" s="301" t="s">
        <v>2684</v>
      </c>
      <c r="M70" s="2357"/>
      <c r="N70" s="2357"/>
      <c r="O70" s="2357"/>
      <c r="P70" s="818">
        <f>P61+P69</f>
        <v>65436</v>
      </c>
    </row>
    <row r="71" spans="1:16" s="293" customFormat="1" ht="13.35" customHeight="1">
      <c r="A71" s="471"/>
      <c r="C71" s="301" t="s">
        <v>2346</v>
      </c>
      <c r="D71" s="2357"/>
      <c r="E71" s="2357"/>
      <c r="H71" s="819">
        <f>'Part VI-Revenues &amp; Expenses'!$P$66</f>
        <v>0</v>
      </c>
      <c r="J71" s="471"/>
      <c r="K71" s="301" t="s">
        <v>2685</v>
      </c>
      <c r="M71" s="2357"/>
      <c r="N71" s="2357"/>
      <c r="O71" s="2357"/>
      <c r="P71" s="819">
        <f>'Part VI-Revenues &amp; Expenses'!$P$169</f>
        <v>0</v>
      </c>
    </row>
    <row r="72" spans="1:16" s="293" customFormat="1" ht="13.35" customHeight="1">
      <c r="A72" s="471"/>
      <c r="C72" s="301" t="s">
        <v>1749</v>
      </c>
      <c r="D72" s="2357"/>
      <c r="E72" s="2357"/>
      <c r="H72" s="315">
        <f>+H70+H71</f>
        <v>60</v>
      </c>
      <c r="J72" s="2357"/>
      <c r="K72" s="301" t="s">
        <v>1392</v>
      </c>
      <c r="M72" s="2357"/>
      <c r="N72" s="2357"/>
      <c r="O72" s="2357"/>
      <c r="P72" s="315">
        <f>+P70+P71</f>
        <v>65436</v>
      </c>
    </row>
    <row r="73" spans="1:16" s="293" customFormat="1" ht="3" customHeight="1">
      <c r="A73" s="471"/>
      <c r="I73" s="2358"/>
      <c r="L73" s="2358"/>
      <c r="M73" s="2358"/>
      <c r="N73" s="2357"/>
      <c r="P73" s="302"/>
    </row>
    <row r="74" spans="1:16" s="293" customFormat="1" ht="13.35" customHeight="1">
      <c r="A74" s="471"/>
      <c r="B74" s="471" t="s">
        <v>1692</v>
      </c>
      <c r="C74" s="303" t="s">
        <v>2239</v>
      </c>
      <c r="D74" s="316" t="s">
        <v>1949</v>
      </c>
      <c r="G74" s="2357"/>
      <c r="H74" s="2412">
        <v>4</v>
      </c>
      <c r="K74" s="301" t="s">
        <v>4444</v>
      </c>
      <c r="O74" s="2357"/>
      <c r="P74" s="2413">
        <v>2499</v>
      </c>
    </row>
    <row r="75" spans="1:16" s="293" customFormat="1" ht="13.35" customHeight="1">
      <c r="A75" s="471"/>
      <c r="B75" s="471"/>
      <c r="D75" s="2347" t="s">
        <v>1950</v>
      </c>
      <c r="H75" s="2414">
        <v>1</v>
      </c>
      <c r="I75" s="2357"/>
      <c r="K75" s="301" t="s">
        <v>247</v>
      </c>
      <c r="O75" s="2357"/>
      <c r="P75" s="315">
        <f>+P72+P74</f>
        <v>67935</v>
      </c>
    </row>
    <row r="76" spans="1:16" s="293" customFormat="1" ht="13.35" customHeight="1">
      <c r="A76" s="471"/>
      <c r="B76" s="471"/>
      <c r="D76" s="2347" t="s">
        <v>1951</v>
      </c>
      <c r="H76" s="315">
        <f>+H74+H75</f>
        <v>5</v>
      </c>
      <c r="I76" s="2357"/>
    </row>
    <row r="77" spans="1:16" s="293" customFormat="1" ht="3" customHeight="1">
      <c r="A77" s="471"/>
      <c r="B77" s="471"/>
      <c r="C77" s="2357"/>
      <c r="D77" s="2357"/>
      <c r="E77" s="2357"/>
      <c r="F77" s="2357"/>
      <c r="G77" s="2358"/>
      <c r="I77" s="301"/>
      <c r="J77" s="2357"/>
      <c r="P77" s="302"/>
    </row>
    <row r="78" spans="1:16" s="293" customFormat="1" ht="13.35" customHeight="1">
      <c r="A78" s="471"/>
      <c r="B78" s="471" t="s">
        <v>1693</v>
      </c>
      <c r="C78" s="303" t="s">
        <v>2743</v>
      </c>
      <c r="D78" s="2357"/>
      <c r="E78" s="2357"/>
      <c r="F78" s="2357"/>
      <c r="G78" s="2357"/>
      <c r="H78" s="2413">
        <v>149</v>
      </c>
      <c r="K78" s="2769" t="s">
        <v>3636</v>
      </c>
      <c r="L78" s="2769"/>
      <c r="M78" s="2769"/>
      <c r="N78" s="2769"/>
      <c r="O78" s="2769"/>
      <c r="P78" s="2769"/>
    </row>
    <row r="79" spans="1:16" s="293" customFormat="1" ht="6" customHeight="1">
      <c r="A79" s="471"/>
      <c r="B79" s="471"/>
      <c r="C79" s="301"/>
      <c r="D79" s="2357"/>
      <c r="E79" s="2357"/>
      <c r="F79" s="2357"/>
      <c r="G79" s="2358"/>
      <c r="H79" s="2357"/>
      <c r="I79" s="301"/>
      <c r="J79" s="301"/>
      <c r="K79" s="2769"/>
      <c r="L79" s="2769"/>
      <c r="M79" s="2769"/>
      <c r="N79" s="2769"/>
      <c r="O79" s="2769"/>
      <c r="P79" s="2769"/>
    </row>
    <row r="80" spans="1:16" s="293" customFormat="1" ht="13.35" customHeight="1">
      <c r="A80" s="471" t="s">
        <v>516</v>
      </c>
      <c r="B80" s="317" t="s">
        <v>1166</v>
      </c>
      <c r="D80" s="317"/>
      <c r="E80" s="317"/>
      <c r="F80" s="2357"/>
      <c r="G80" s="2358"/>
      <c r="H80" s="497"/>
      <c r="K80" s="2769"/>
      <c r="L80" s="2769"/>
      <c r="M80" s="2769"/>
      <c r="N80" s="2769"/>
      <c r="O80" s="2769"/>
      <c r="P80" s="2769"/>
    </row>
    <row r="81" spans="1:16" s="293" customFormat="1" ht="3" customHeight="1">
      <c r="A81" s="471"/>
      <c r="C81" s="1481"/>
      <c r="D81" s="1481"/>
      <c r="E81" s="1481"/>
      <c r="F81" s="2357"/>
      <c r="G81" s="2358"/>
      <c r="K81" s="2357"/>
      <c r="P81" s="302"/>
    </row>
    <row r="82" spans="1:16" s="293" customFormat="1" ht="13.35" customHeight="1">
      <c r="A82" s="471"/>
      <c r="B82" s="471" t="s">
        <v>1936</v>
      </c>
      <c r="C82" s="2351" t="s">
        <v>2613</v>
      </c>
      <c r="D82" s="1481"/>
      <c r="E82" s="1481"/>
      <c r="F82" s="2357"/>
      <c r="G82" s="2358"/>
      <c r="H82" s="2752" t="s">
        <v>2808</v>
      </c>
      <c r="I82" s="2753"/>
      <c r="K82" s="2754" t="s">
        <v>1728</v>
      </c>
      <c r="L82" s="2754"/>
      <c r="M82" s="2696"/>
      <c r="N82" s="2682"/>
      <c r="O82" s="2682"/>
      <c r="P82" s="2697"/>
    </row>
    <row r="83" spans="1:16" s="293" customFormat="1" ht="3" customHeight="1">
      <c r="A83" s="471"/>
      <c r="B83" s="471"/>
      <c r="D83" s="2347"/>
      <c r="E83" s="2347"/>
      <c r="F83" s="2347"/>
      <c r="G83" s="2347"/>
      <c r="I83" s="2358"/>
      <c r="K83" s="2346"/>
      <c r="L83" s="2346"/>
      <c r="M83" s="2358"/>
      <c r="N83" s="2357"/>
      <c r="P83" s="302"/>
    </row>
    <row r="84" spans="1:16" s="293" customFormat="1">
      <c r="A84" s="471"/>
      <c r="B84" s="471"/>
      <c r="E84" s="1481"/>
      <c r="K84" s="2850" t="s">
        <v>4391</v>
      </c>
      <c r="L84" s="318" t="s">
        <v>2808</v>
      </c>
      <c r="M84" s="2415"/>
      <c r="N84" s="318" t="s">
        <v>2809</v>
      </c>
      <c r="O84" s="2415"/>
      <c r="P84" s="2349" t="s">
        <v>4390</v>
      </c>
    </row>
    <row r="85" spans="1:16" s="293" customFormat="1">
      <c r="A85" s="471"/>
      <c r="B85" s="471"/>
      <c r="D85" s="2346"/>
      <c r="E85" s="1481"/>
      <c r="J85" s="1479"/>
      <c r="K85" s="2850"/>
      <c r="L85" s="305" t="s">
        <v>2810</v>
      </c>
      <c r="M85" s="2414"/>
      <c r="N85" s="305" t="s">
        <v>3652</v>
      </c>
      <c r="O85" s="2414"/>
      <c r="P85" s="2416"/>
    </row>
    <row r="86" spans="1:16" s="293" customFormat="1" ht="9" customHeight="1">
      <c r="A86" s="471"/>
      <c r="B86" s="471"/>
      <c r="D86" s="2347"/>
      <c r="E86" s="2347"/>
      <c r="F86" s="2347"/>
      <c r="G86" s="2347"/>
      <c r="I86" s="2358"/>
      <c r="K86" s="2346"/>
      <c r="L86" s="2346"/>
      <c r="M86" s="2358"/>
      <c r="N86" s="2357"/>
      <c r="P86" s="302"/>
    </row>
    <row r="87" spans="1:16" s="293" customFormat="1">
      <c r="A87" s="471"/>
      <c r="B87" s="471" t="s">
        <v>1938</v>
      </c>
      <c r="C87" s="303" t="s">
        <v>1384</v>
      </c>
      <c r="D87" s="2357"/>
      <c r="E87" s="316"/>
      <c r="F87" s="2347" t="s">
        <v>776</v>
      </c>
      <c r="H87" s="605">
        <f>'Part VIII-Threshold Criteria'!K305</f>
        <v>3</v>
      </c>
      <c r="K87" s="2754" t="s">
        <v>506</v>
      </c>
      <c r="L87" s="2754"/>
      <c r="N87" s="1559">
        <f>IF('Part VI-Revenues &amp; Expenses'!$P$67=0,0,H87/'Part VI-Revenues &amp; Expenses'!$P$67)</f>
        <v>0.05</v>
      </c>
      <c r="O87" s="305" t="s">
        <v>3518</v>
      </c>
      <c r="P87" s="895">
        <f>'DCA Underwriting Assumptions'!$Q$154</f>
        <v>0.05</v>
      </c>
    </row>
    <row r="88" spans="1:16" s="293" customFormat="1">
      <c r="A88" s="471"/>
      <c r="B88" s="471"/>
      <c r="D88" s="2347" t="s">
        <v>2741</v>
      </c>
      <c r="E88" s="2347"/>
      <c r="F88" s="2347" t="s">
        <v>776</v>
      </c>
      <c r="H88" s="605">
        <f>'Part VIII-Threshold Criteria'!K306</f>
        <v>2</v>
      </c>
      <c r="K88" s="2357" t="s">
        <v>2742</v>
      </c>
      <c r="L88" s="2357"/>
      <c r="N88" s="1559">
        <f>IF(H87=0,0,H88/H87)</f>
        <v>0.66666666666666663</v>
      </c>
      <c r="O88" s="305" t="s">
        <v>3518</v>
      </c>
      <c r="P88" s="895">
        <f>'DCA Underwriting Assumptions'!$Q$155</f>
        <v>0.4</v>
      </c>
    </row>
    <row r="89" spans="1:16" s="293" customFormat="1" ht="9" customHeight="1">
      <c r="A89" s="471"/>
      <c r="B89" s="471"/>
      <c r="D89" s="2347"/>
      <c r="E89" s="2347"/>
      <c r="F89" s="2347"/>
      <c r="I89" s="2358"/>
      <c r="K89" s="2346"/>
      <c r="L89" s="2346"/>
      <c r="M89" s="2358"/>
      <c r="N89" s="2358"/>
      <c r="P89" s="2352"/>
    </row>
    <row r="90" spans="1:16" s="293" customFormat="1">
      <c r="A90" s="471"/>
      <c r="B90" s="471" t="s">
        <v>731</v>
      </c>
      <c r="C90" s="303" t="s">
        <v>1798</v>
      </c>
      <c r="D90" s="316"/>
      <c r="E90" s="316"/>
      <c r="F90" s="2347" t="s">
        <v>776</v>
      </c>
      <c r="H90" s="605">
        <f>'Part VIII-Threshold Criteria'!K308</f>
        <v>2</v>
      </c>
      <c r="K90" s="2754" t="s">
        <v>506</v>
      </c>
      <c r="L90" s="2754"/>
      <c r="N90" s="1559">
        <f>IF('Part VI-Revenues &amp; Expenses'!$P$67=0,0,H90/'Part VI-Revenues &amp; Expenses'!$P$67)</f>
        <v>3.3333333333333333E-2</v>
      </c>
      <c r="O90" s="305" t="s">
        <v>3518</v>
      </c>
      <c r="P90" s="895">
        <f>'DCA Underwriting Assumptions'!$Q$156</f>
        <v>0.02</v>
      </c>
    </row>
    <row r="91" spans="1:16" s="293" customFormat="1">
      <c r="A91" s="471"/>
      <c r="B91" s="471"/>
      <c r="D91" s="2347"/>
      <c r="E91" s="2347"/>
      <c r="F91" s="2347"/>
      <c r="G91" s="2347"/>
      <c r="I91" s="2358"/>
      <c r="J91" s="2358"/>
      <c r="K91" s="2358"/>
      <c r="L91" s="2358"/>
      <c r="M91" s="2358"/>
      <c r="N91" s="2357"/>
      <c r="P91" s="302"/>
    </row>
    <row r="92" spans="1:16" s="293" customFormat="1" ht="13.35" customHeight="1">
      <c r="A92" s="319" t="s">
        <v>754</v>
      </c>
      <c r="B92" s="1481" t="s">
        <v>4326</v>
      </c>
      <c r="D92" s="2347"/>
      <c r="E92" s="2347"/>
      <c r="F92" s="2347"/>
      <c r="G92" s="2347"/>
      <c r="H92" s="2347"/>
      <c r="I92" s="2358"/>
      <c r="M92" s="2358"/>
      <c r="N92" s="2357"/>
      <c r="P92" s="302"/>
    </row>
    <row r="93" spans="1:16" s="293" customFormat="1" ht="1.5" customHeight="1">
      <c r="A93" s="471"/>
      <c r="B93" s="471"/>
      <c r="C93" s="1481"/>
      <c r="D93" s="2347"/>
      <c r="E93" s="2347"/>
      <c r="F93" s="2347"/>
      <c r="L93" s="2358"/>
      <c r="M93" s="2358"/>
      <c r="N93" s="2357"/>
    </row>
    <row r="94" spans="1:16" s="293" customFormat="1" ht="13.35" customHeight="1">
      <c r="A94" s="471"/>
      <c r="B94" s="471" t="s">
        <v>1936</v>
      </c>
      <c r="C94" s="2351" t="s">
        <v>2316</v>
      </c>
      <c r="D94" s="2347"/>
      <c r="F94" s="2346"/>
      <c r="K94" s="2795" t="s">
        <v>4294</v>
      </c>
      <c r="L94" s="2797"/>
      <c r="M94" s="2796"/>
      <c r="N94" s="2357"/>
    </row>
    <row r="95" spans="1:16" s="293" customFormat="1" ht="1.5" customHeight="1">
      <c r="A95" s="471"/>
      <c r="B95" s="471"/>
      <c r="D95" s="2347"/>
      <c r="F95" s="2347"/>
      <c r="G95" s="2347"/>
      <c r="H95" s="472" t="s">
        <v>4485</v>
      </c>
      <c r="L95" s="2358"/>
      <c r="M95" s="2358"/>
    </row>
    <row r="96" spans="1:16" s="293" customFormat="1" ht="13.35" customHeight="1">
      <c r="B96" s="471" t="s">
        <v>1938</v>
      </c>
      <c r="C96" s="295" t="s">
        <v>1502</v>
      </c>
      <c r="K96" s="2349" t="s">
        <v>4374</v>
      </c>
      <c r="N96" s="320"/>
      <c r="P96" s="2417" t="s">
        <v>2889</v>
      </c>
    </row>
    <row r="97" spans="1:16" s="293" customFormat="1" ht="4.5" customHeight="1">
      <c r="A97" s="471"/>
      <c r="B97" s="471"/>
      <c r="C97" s="295"/>
      <c r="D97" s="2347"/>
      <c r="E97" s="2347"/>
      <c r="F97" s="2347"/>
      <c r="G97" s="2347"/>
      <c r="I97" s="2358"/>
      <c r="J97" s="2358"/>
      <c r="K97" s="2358"/>
      <c r="L97" s="2358"/>
      <c r="M97" s="2358"/>
      <c r="N97" s="2357"/>
      <c r="P97" s="302"/>
    </row>
    <row r="98" spans="1:16" s="293" customFormat="1" ht="13.35" customHeight="1">
      <c r="A98" s="319" t="s">
        <v>287</v>
      </c>
      <c r="B98" s="1481" t="s">
        <v>1993</v>
      </c>
      <c r="D98" s="2347"/>
    </row>
    <row r="99" spans="1:16" s="293" customFormat="1" ht="1.5" customHeight="1">
      <c r="A99" s="471"/>
      <c r="B99" s="471"/>
      <c r="D99" s="2347"/>
      <c r="N99" s="2357"/>
      <c r="P99" s="302"/>
    </row>
    <row r="100" spans="1:16" s="293" customFormat="1" ht="13.35" customHeight="1">
      <c r="A100" s="319"/>
      <c r="B100" s="471" t="s">
        <v>1936</v>
      </c>
      <c r="C100" s="295" t="s">
        <v>2628</v>
      </c>
      <c r="F100" s="316" t="s">
        <v>2533</v>
      </c>
      <c r="H100" s="2418" t="s">
        <v>2886</v>
      </c>
      <c r="K100" s="2346" t="s">
        <v>3665</v>
      </c>
      <c r="P100" s="2418" t="s">
        <v>2889</v>
      </c>
    </row>
    <row r="101" spans="1:16" s="293" customFormat="1" ht="13.35" customHeight="1">
      <c r="A101" s="319"/>
      <c r="B101" s="471"/>
      <c r="C101" s="295"/>
      <c r="F101" s="2347" t="s">
        <v>3669</v>
      </c>
      <c r="H101" s="2419" t="s">
        <v>2889</v>
      </c>
      <c r="K101" s="2346" t="s">
        <v>4229</v>
      </c>
      <c r="P101" s="2419" t="s">
        <v>2889</v>
      </c>
    </row>
    <row r="102" spans="1:16" s="293" customFormat="1" ht="1.5" customHeight="1">
      <c r="A102" s="471"/>
      <c r="B102" s="471"/>
      <c r="C102" s="1481"/>
      <c r="F102" s="2347"/>
      <c r="H102" s="2347"/>
      <c r="J102" s="2358"/>
      <c r="K102" s="2358"/>
      <c r="L102" s="2358"/>
      <c r="M102" s="2358"/>
      <c r="N102" s="2358"/>
      <c r="P102" s="302"/>
    </row>
    <row r="103" spans="1:16" s="293" customFormat="1" ht="13.35" customHeight="1">
      <c r="A103" s="319"/>
      <c r="B103" s="471" t="s">
        <v>1938</v>
      </c>
      <c r="C103" s="295" t="s">
        <v>2629</v>
      </c>
      <c r="F103" s="2346" t="s">
        <v>2603</v>
      </c>
      <c r="H103" s="2411" t="s">
        <v>2889</v>
      </c>
      <c r="J103" s="2358"/>
      <c r="K103" s="466" t="s">
        <v>2630</v>
      </c>
      <c r="L103" s="2358"/>
    </row>
    <row r="104" spans="1:16" s="293" customFormat="1" ht="4.5" customHeight="1">
      <c r="A104" s="471"/>
      <c r="B104" s="471"/>
      <c r="C104" s="295"/>
      <c r="D104" s="2347"/>
      <c r="E104" s="2347"/>
      <c r="F104" s="2347"/>
      <c r="G104" s="2347"/>
      <c r="I104" s="2358"/>
      <c r="J104" s="2358"/>
      <c r="K104" s="2358"/>
      <c r="L104" s="2358"/>
      <c r="M104" s="2358"/>
      <c r="N104" s="2357"/>
      <c r="P104" s="302"/>
    </row>
    <row r="105" spans="1:16" s="293" customFormat="1" ht="13.35" customHeight="1">
      <c r="A105" s="319" t="s">
        <v>418</v>
      </c>
      <c r="B105" s="1481" t="s">
        <v>2692</v>
      </c>
      <c r="D105" s="2347"/>
      <c r="H105" s="2795" t="s">
        <v>2532</v>
      </c>
      <c r="I105" s="2796"/>
      <c r="J105" s="2358"/>
    </row>
    <row r="106" spans="1:16" s="293" customFormat="1" ht="4.5" customHeight="1">
      <c r="A106" s="471"/>
      <c r="D106" s="309"/>
      <c r="E106" s="2357"/>
      <c r="I106" s="309"/>
      <c r="J106" s="301"/>
      <c r="K106" s="2357"/>
      <c r="P106" s="302"/>
    </row>
    <row r="107" spans="1:16" s="293" customFormat="1" ht="13.35" customHeight="1">
      <c r="A107" s="319" t="s">
        <v>356</v>
      </c>
      <c r="B107" s="314" t="s">
        <v>1164</v>
      </c>
      <c r="D107" s="2357"/>
      <c r="E107" s="2357"/>
      <c r="F107" s="2357"/>
      <c r="G107" s="2357"/>
      <c r="H107" s="2357"/>
      <c r="I107" s="309"/>
      <c r="J107" s="301"/>
      <c r="K107" s="2357"/>
      <c r="P107" s="302"/>
    </row>
    <row r="108" spans="1:16" s="293" customFormat="1" ht="3" customHeight="1">
      <c r="A108" s="319"/>
      <c r="B108" s="471"/>
      <c r="C108" s="314"/>
      <c r="D108" s="2357"/>
      <c r="E108" s="2357"/>
      <c r="F108" s="2357"/>
      <c r="G108" s="2357"/>
      <c r="H108" s="2357"/>
      <c r="I108" s="309"/>
      <c r="J108" s="301"/>
      <c r="K108" s="2357"/>
    </row>
    <row r="109" spans="1:16" s="293" customFormat="1" ht="13.35" customHeight="1">
      <c r="A109" s="471"/>
      <c r="B109" s="471"/>
      <c r="C109" s="301" t="s">
        <v>536</v>
      </c>
      <c r="D109" s="2357"/>
      <c r="E109" s="2705"/>
      <c r="F109" s="2706"/>
      <c r="G109" s="2706"/>
      <c r="H109" s="2706"/>
      <c r="I109" s="2706"/>
      <c r="J109" s="2706"/>
      <c r="K109" s="2706"/>
      <c r="L109" s="2707"/>
      <c r="M109" s="2784" t="s">
        <v>537</v>
      </c>
      <c r="N109" s="2784"/>
      <c r="O109" s="2785"/>
      <c r="P109" s="2786"/>
    </row>
    <row r="110" spans="1:16" s="293" customFormat="1" ht="13.35" customHeight="1">
      <c r="C110" s="2349" t="s">
        <v>999</v>
      </c>
      <c r="D110" s="305"/>
      <c r="E110" s="2698"/>
      <c r="F110" s="2699"/>
      <c r="G110" s="2699"/>
      <c r="H110" s="2700"/>
      <c r="I110" s="2699"/>
      <c r="J110" s="2700"/>
      <c r="K110" s="2699"/>
      <c r="L110" s="2704"/>
      <c r="M110" s="2784" t="s">
        <v>788</v>
      </c>
      <c r="N110" s="2784"/>
      <c r="O110" s="2787"/>
      <c r="P110" s="2788"/>
    </row>
    <row r="111" spans="1:16" s="293" customFormat="1" ht="13.35" customHeight="1">
      <c r="C111" s="2349" t="s">
        <v>600</v>
      </c>
      <c r="E111" s="2743"/>
      <c r="F111" s="2789"/>
      <c r="G111" s="2790"/>
      <c r="H111" s="2352" t="s">
        <v>1754</v>
      </c>
      <c r="I111" s="2420"/>
      <c r="J111" s="321" t="s">
        <v>2173</v>
      </c>
      <c r="K111" s="2791"/>
      <c r="L111" s="2792"/>
      <c r="M111" s="270" t="s">
        <v>3489</v>
      </c>
      <c r="N111" s="270"/>
      <c r="O111" s="2793"/>
      <c r="P111" s="2794"/>
    </row>
    <row r="112" spans="1:16" s="293" customFormat="1" ht="13.35" customHeight="1">
      <c r="C112" s="293" t="s">
        <v>2144</v>
      </c>
      <c r="E112" s="2743"/>
      <c r="F112" s="2789"/>
      <c r="G112" s="2790"/>
      <c r="H112" s="928" t="s">
        <v>1933</v>
      </c>
      <c r="I112" s="2808"/>
      <c r="J112" s="2809"/>
      <c r="K112" s="2810"/>
      <c r="L112" s="2370" t="s">
        <v>1937</v>
      </c>
      <c r="M112" s="2705"/>
      <c r="N112" s="2811"/>
      <c r="O112" s="2812"/>
      <c r="P112" s="2813"/>
    </row>
    <row r="113" spans="1:16" s="293" customFormat="1" ht="13.35" customHeight="1">
      <c r="C113" s="2349" t="s">
        <v>2143</v>
      </c>
      <c r="E113" s="2684"/>
      <c r="F113" s="2814"/>
      <c r="G113" s="2685"/>
      <c r="H113" s="928" t="s">
        <v>1756</v>
      </c>
      <c r="I113" s="2684"/>
      <c r="J113" s="2815"/>
      <c r="K113" s="2352" t="s">
        <v>2625</v>
      </c>
      <c r="L113" s="2746"/>
      <c r="M113" s="2816"/>
      <c r="N113" s="2816"/>
      <c r="O113" s="2816"/>
      <c r="P113" s="2817"/>
    </row>
    <row r="114" spans="1:16" s="293" customFormat="1" ht="3" customHeight="1">
      <c r="A114" s="471"/>
      <c r="B114" s="471"/>
      <c r="G114" s="309"/>
      <c r="H114" s="2358"/>
      <c r="I114" s="2358"/>
      <c r="M114" s="302"/>
    </row>
    <row r="115" spans="1:16" s="293" customFormat="1" ht="13.35" customHeight="1">
      <c r="A115" s="319" t="s">
        <v>357</v>
      </c>
      <c r="B115" s="1481" t="s">
        <v>1630</v>
      </c>
      <c r="D115" s="309"/>
      <c r="E115" s="309"/>
      <c r="F115" s="2358"/>
      <c r="G115" s="2358"/>
      <c r="H115" s="2358"/>
      <c r="N115" s="2357"/>
      <c r="O115" s="2357"/>
      <c r="P115" s="302"/>
    </row>
    <row r="116" spans="1:16" s="293" customFormat="1" ht="1.5" customHeight="1">
      <c r="A116" s="319"/>
      <c r="B116" s="1481"/>
      <c r="D116" s="309"/>
      <c r="E116" s="309"/>
      <c r="F116" s="2358"/>
      <c r="G116" s="2358"/>
      <c r="H116" s="2358"/>
      <c r="I116" s="2358"/>
      <c r="J116" s="309"/>
      <c r="K116" s="2358"/>
      <c r="L116" s="2358"/>
      <c r="N116" s="2357"/>
      <c r="O116" s="2357"/>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8"/>
      <c r="G119" s="2358"/>
      <c r="H119" s="2421">
        <v>2</v>
      </c>
      <c r="N119" s="2357"/>
      <c r="O119" s="235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8"/>
      <c r="G121" s="2358"/>
      <c r="H121" s="2422">
        <f>900000+800991</f>
        <v>1700991</v>
      </c>
      <c r="J121" s="309"/>
      <c r="K121" s="2346"/>
      <c r="N121" s="235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8"/>
      <c r="G123" s="2358"/>
      <c r="H123" s="2358"/>
      <c r="I123" s="2358"/>
      <c r="J123" s="309"/>
      <c r="K123" s="2358"/>
      <c r="L123" s="2358"/>
      <c r="N123" s="2357"/>
      <c r="O123" s="2357"/>
    </row>
    <row r="124" spans="1:16" s="293" customFormat="1" ht="13.35" customHeight="1">
      <c r="B124" s="471"/>
      <c r="C124" s="2347" t="s">
        <v>2085</v>
      </c>
      <c r="D124" s="2347"/>
      <c r="F124" s="2347" t="s">
        <v>1112</v>
      </c>
      <c r="G124" s="2358"/>
      <c r="H124" s="2358"/>
      <c r="I124" s="2358" t="s">
        <v>1268</v>
      </c>
      <c r="J124" s="2347" t="s">
        <v>2085</v>
      </c>
      <c r="K124" s="2347"/>
      <c r="M124" s="2347" t="s">
        <v>1112</v>
      </c>
      <c r="N124" s="2358"/>
      <c r="O124" s="2358"/>
      <c r="P124" s="2358" t="s">
        <v>1268</v>
      </c>
    </row>
    <row r="125" spans="1:16" s="293" customFormat="1" ht="13.35" customHeight="1">
      <c r="A125" s="471"/>
      <c r="B125" s="471"/>
      <c r="C125" s="2798" t="s">
        <v>7147</v>
      </c>
      <c r="D125" s="2799"/>
      <c r="E125" s="2799"/>
      <c r="F125" s="2800" t="s">
        <v>7148</v>
      </c>
      <c r="G125" s="2801"/>
      <c r="H125" s="2802"/>
      <c r="I125" s="2423" t="s">
        <v>6993</v>
      </c>
      <c r="J125" s="2803" t="s">
        <v>7149</v>
      </c>
      <c r="K125" s="2804"/>
      <c r="L125" s="2804"/>
      <c r="M125" s="2805" t="s">
        <v>6995</v>
      </c>
      <c r="N125" s="2806"/>
      <c r="O125" s="2807"/>
      <c r="P125" s="2423" t="s">
        <v>6994</v>
      </c>
    </row>
    <row r="126" spans="1:16" s="293" customFormat="1" ht="13.35" customHeight="1">
      <c r="A126" s="471"/>
      <c r="B126" s="471"/>
      <c r="C126" s="2803" t="s">
        <v>7150</v>
      </c>
      <c r="D126" s="2804"/>
      <c r="E126" s="2804"/>
      <c r="F126" s="2800" t="s">
        <v>7148</v>
      </c>
      <c r="G126" s="2801"/>
      <c r="H126" s="2802"/>
      <c r="I126" s="2424" t="s">
        <v>6993</v>
      </c>
      <c r="J126" s="2803" t="s">
        <v>7151</v>
      </c>
      <c r="K126" s="2804"/>
      <c r="L126" s="2804"/>
      <c r="M126" s="2805" t="s">
        <v>6995</v>
      </c>
      <c r="N126" s="2806"/>
      <c r="O126" s="2807"/>
      <c r="P126" s="2424" t="s">
        <v>6994</v>
      </c>
    </row>
    <row r="127" spans="1:16" s="293" customFormat="1" ht="13.35" customHeight="1">
      <c r="A127" s="471"/>
      <c r="B127" s="471"/>
      <c r="C127" s="2803" t="s">
        <v>7152</v>
      </c>
      <c r="D127" s="2804"/>
      <c r="E127" s="2804"/>
      <c r="F127" s="2800" t="s">
        <v>7148</v>
      </c>
      <c r="G127" s="2801"/>
      <c r="H127" s="2802"/>
      <c r="I127" s="2424" t="s">
        <v>6994</v>
      </c>
      <c r="J127" s="2803">
        <v>9</v>
      </c>
      <c r="K127" s="2804"/>
      <c r="L127" s="2804"/>
      <c r="M127" s="2805"/>
      <c r="N127" s="2806"/>
      <c r="O127" s="2807"/>
      <c r="P127" s="2424"/>
    </row>
    <row r="128" spans="1:16" s="293" customFormat="1" ht="13.35" customHeight="1">
      <c r="A128" s="471"/>
      <c r="B128" s="471"/>
      <c r="C128" s="2803" t="s">
        <v>7153</v>
      </c>
      <c r="D128" s="2804"/>
      <c r="E128" s="2804"/>
      <c r="F128" s="2800" t="s">
        <v>7148</v>
      </c>
      <c r="G128" s="2801"/>
      <c r="H128" s="2802"/>
      <c r="I128" s="2424" t="s">
        <v>6994</v>
      </c>
      <c r="J128" s="2803">
        <v>10</v>
      </c>
      <c r="K128" s="2804"/>
      <c r="L128" s="2804"/>
      <c r="M128" s="2805"/>
      <c r="N128" s="2806"/>
      <c r="O128" s="2807"/>
      <c r="P128" s="2424"/>
    </row>
    <row r="129" spans="1:16" s="293" customFormat="1" ht="13.35" customHeight="1">
      <c r="A129" s="471"/>
      <c r="B129" s="471"/>
      <c r="C129" s="2803" t="s">
        <v>7154</v>
      </c>
      <c r="D129" s="2804"/>
      <c r="E129" s="2804"/>
      <c r="F129" s="2805" t="s">
        <v>6995</v>
      </c>
      <c r="G129" s="2806"/>
      <c r="H129" s="2807"/>
      <c r="I129" s="2424" t="s">
        <v>6993</v>
      </c>
      <c r="J129" s="2803">
        <v>11</v>
      </c>
      <c r="K129" s="2804"/>
      <c r="L129" s="2804"/>
      <c r="M129" s="2805"/>
      <c r="N129" s="2806"/>
      <c r="O129" s="2807"/>
      <c r="P129" s="2424"/>
    </row>
    <row r="130" spans="1:16" s="293" customFormat="1" ht="13.35" customHeight="1">
      <c r="A130" s="471"/>
      <c r="B130" s="471"/>
      <c r="C130" s="2803" t="s">
        <v>7155</v>
      </c>
      <c r="D130" s="2804"/>
      <c r="E130" s="2804"/>
      <c r="F130" s="2805" t="s">
        <v>6995</v>
      </c>
      <c r="G130" s="2806"/>
      <c r="H130" s="2807"/>
      <c r="I130" s="2425" t="s">
        <v>6993</v>
      </c>
      <c r="J130" s="2818">
        <v>12</v>
      </c>
      <c r="K130" s="2819"/>
      <c r="L130" s="2819"/>
      <c r="M130" s="2820"/>
      <c r="N130" s="2821"/>
      <c r="O130" s="2822"/>
      <c r="P130" s="242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23" t="s">
        <v>1801</v>
      </c>
      <c r="D132" s="2823"/>
      <c r="E132" s="2823"/>
      <c r="F132" s="2823"/>
      <c r="G132" s="2823"/>
      <c r="H132" s="2823"/>
      <c r="I132" s="2823"/>
      <c r="J132" s="2823"/>
      <c r="K132" s="2823"/>
      <c r="L132" s="2823"/>
      <c r="M132" s="2823"/>
      <c r="N132" s="2823"/>
      <c r="O132" s="2823"/>
      <c r="P132" s="2823"/>
    </row>
    <row r="133" spans="1:16" s="293" customFormat="1" ht="13.35" customHeight="1">
      <c r="A133" s="471"/>
      <c r="B133" s="471"/>
      <c r="C133" s="2823"/>
      <c r="D133" s="2823"/>
      <c r="E133" s="2823"/>
      <c r="F133" s="2823"/>
      <c r="G133" s="2823"/>
      <c r="H133" s="2823"/>
      <c r="I133" s="2823"/>
      <c r="J133" s="2823"/>
      <c r="K133" s="2823"/>
      <c r="L133" s="2823"/>
      <c r="M133" s="2823"/>
      <c r="N133" s="2823"/>
      <c r="O133" s="2823"/>
      <c r="P133" s="2823"/>
    </row>
    <row r="134" spans="1:16" s="293" customFormat="1" ht="13.35" customHeight="1">
      <c r="B134" s="471"/>
      <c r="C134" s="2347" t="s">
        <v>2085</v>
      </c>
      <c r="D134" s="2347"/>
      <c r="F134" s="2347" t="s">
        <v>1112</v>
      </c>
      <c r="G134" s="2358"/>
      <c r="H134" s="2358"/>
      <c r="I134" s="2358"/>
      <c r="J134" s="2347" t="s">
        <v>2085</v>
      </c>
      <c r="K134" s="2347"/>
      <c r="M134" s="2347" t="s">
        <v>1112</v>
      </c>
      <c r="N134" s="2358"/>
      <c r="O134" s="2358"/>
      <c r="P134" s="2358"/>
    </row>
    <row r="135" spans="1:16" s="293" customFormat="1" ht="13.35" customHeight="1">
      <c r="A135" s="471"/>
      <c r="B135" s="471"/>
      <c r="C135" s="2824">
        <v>1</v>
      </c>
      <c r="D135" s="2799"/>
      <c r="E135" s="2799"/>
      <c r="F135" s="2825"/>
      <c r="G135" s="2826"/>
      <c r="H135" s="2826"/>
      <c r="I135" s="2827"/>
      <c r="J135" s="2824">
        <v>7</v>
      </c>
      <c r="K135" s="2799"/>
      <c r="L135" s="2799"/>
      <c r="M135" s="2825"/>
      <c r="N135" s="2826"/>
      <c r="O135" s="2826"/>
      <c r="P135" s="2827"/>
    </row>
    <row r="136" spans="1:16" s="293" customFormat="1" ht="13.35" customHeight="1">
      <c r="A136" s="471"/>
      <c r="B136" s="471"/>
      <c r="C136" s="2803">
        <v>2</v>
      </c>
      <c r="D136" s="2804"/>
      <c r="E136" s="2804"/>
      <c r="F136" s="2805"/>
      <c r="G136" s="2806"/>
      <c r="H136" s="2806"/>
      <c r="I136" s="2828"/>
      <c r="J136" s="2803">
        <v>8</v>
      </c>
      <c r="K136" s="2804"/>
      <c r="L136" s="2804"/>
      <c r="M136" s="2805"/>
      <c r="N136" s="2806"/>
      <c r="O136" s="2806"/>
      <c r="P136" s="2828"/>
    </row>
    <row r="137" spans="1:16" s="293" customFormat="1" ht="13.35" customHeight="1">
      <c r="A137" s="471"/>
      <c r="B137" s="471"/>
      <c r="C137" s="2803">
        <v>3</v>
      </c>
      <c r="D137" s="2804"/>
      <c r="E137" s="2804"/>
      <c r="F137" s="2805"/>
      <c r="G137" s="2806"/>
      <c r="H137" s="2806"/>
      <c r="I137" s="2828"/>
      <c r="J137" s="2803">
        <v>9</v>
      </c>
      <c r="K137" s="2804"/>
      <c r="L137" s="2804"/>
      <c r="M137" s="2805"/>
      <c r="N137" s="2806"/>
      <c r="O137" s="2806"/>
      <c r="P137" s="2828"/>
    </row>
    <row r="138" spans="1:16" s="293" customFormat="1" ht="13.35" customHeight="1">
      <c r="A138" s="471"/>
      <c r="B138" s="471"/>
      <c r="C138" s="2803">
        <v>4</v>
      </c>
      <c r="D138" s="2804"/>
      <c r="E138" s="2804"/>
      <c r="F138" s="2805"/>
      <c r="G138" s="2806"/>
      <c r="H138" s="2806"/>
      <c r="I138" s="2828"/>
      <c r="J138" s="2803">
        <v>10</v>
      </c>
      <c r="K138" s="2804"/>
      <c r="L138" s="2804"/>
      <c r="M138" s="2805"/>
      <c r="N138" s="2806"/>
      <c r="O138" s="2806"/>
      <c r="P138" s="2828"/>
    </row>
    <row r="139" spans="1:16" s="293" customFormat="1" ht="13.35" customHeight="1">
      <c r="A139" s="471"/>
      <c r="B139" s="471"/>
      <c r="C139" s="2803">
        <v>5</v>
      </c>
      <c r="D139" s="2804"/>
      <c r="E139" s="2804"/>
      <c r="F139" s="2805"/>
      <c r="G139" s="2806"/>
      <c r="H139" s="2806"/>
      <c r="I139" s="2828"/>
      <c r="J139" s="2803">
        <v>11</v>
      </c>
      <c r="K139" s="2804"/>
      <c r="L139" s="2804"/>
      <c r="M139" s="2805"/>
      <c r="N139" s="2806"/>
      <c r="O139" s="2806"/>
      <c r="P139" s="2828"/>
    </row>
    <row r="140" spans="1:16" s="293" customFormat="1" ht="13.35" customHeight="1">
      <c r="A140" s="471"/>
      <c r="B140" s="471"/>
      <c r="C140" s="2818">
        <v>6</v>
      </c>
      <c r="D140" s="2819"/>
      <c r="E140" s="2819"/>
      <c r="F140" s="2820"/>
      <c r="G140" s="2821"/>
      <c r="H140" s="2821"/>
      <c r="I140" s="2831"/>
      <c r="J140" s="2818">
        <v>12</v>
      </c>
      <c r="K140" s="2819"/>
      <c r="L140" s="2819"/>
      <c r="M140" s="2820"/>
      <c r="N140" s="2821"/>
      <c r="O140" s="2821"/>
      <c r="P140" s="2831"/>
    </row>
    <row r="141" spans="1:16" s="293" customFormat="1" ht="3" customHeight="1" thickBot="1">
      <c r="A141" s="471"/>
      <c r="B141" s="471"/>
      <c r="C141" s="2347"/>
      <c r="D141" s="2347"/>
      <c r="E141" s="2347"/>
      <c r="F141" s="2358"/>
      <c r="G141" s="2358"/>
      <c r="H141" s="2358"/>
      <c r="I141" s="2358"/>
      <c r="J141" s="309"/>
      <c r="K141" s="2358"/>
      <c r="L141" s="2358"/>
      <c r="N141" s="2357"/>
      <c r="O141" s="2357"/>
      <c r="P141" s="302"/>
    </row>
    <row r="142" spans="1:16" s="293" customFormat="1" ht="14.4" customHeight="1" thickBot="1">
      <c r="A142" s="295" t="s">
        <v>358</v>
      </c>
      <c r="B142" s="303" t="s">
        <v>4395</v>
      </c>
      <c r="D142" s="303"/>
      <c r="E142" s="303"/>
      <c r="F142" s="303"/>
      <c r="I142" s="2426" t="s">
        <v>2889</v>
      </c>
      <c r="M142" s="2358"/>
      <c r="N142" s="2357"/>
      <c r="O142" s="2357"/>
      <c r="P142" s="302"/>
    </row>
    <row r="143" spans="1:16" s="293" customFormat="1" ht="1.5" customHeight="1">
      <c r="A143" s="319"/>
      <c r="B143" s="471"/>
      <c r="C143" s="1481"/>
      <c r="D143" s="1481"/>
      <c r="E143" s="1481"/>
      <c r="F143" s="1481"/>
      <c r="G143" s="2358"/>
      <c r="M143" s="2358"/>
      <c r="N143" s="2357"/>
      <c r="O143" s="2357"/>
    </row>
    <row r="144" spans="1:16" s="293" customFormat="1" ht="13.35" customHeight="1">
      <c r="A144" s="471"/>
      <c r="B144" s="471" t="s">
        <v>1936</v>
      </c>
      <c r="C144" s="298" t="s">
        <v>1671</v>
      </c>
      <c r="I144" s="2418" t="s">
        <v>2889</v>
      </c>
      <c r="M144" s="2358"/>
      <c r="N144" s="2357"/>
      <c r="O144" s="2357"/>
      <c r="P144" s="302"/>
    </row>
    <row r="145" spans="1:16" s="293" customFormat="1" ht="13.35" customHeight="1">
      <c r="A145" s="471"/>
      <c r="B145" s="471"/>
      <c r="C145" s="2347" t="s">
        <v>2357</v>
      </c>
      <c r="D145" s="2347"/>
      <c r="E145" s="2347"/>
      <c r="F145" s="2358"/>
      <c r="I145" s="2427"/>
      <c r="N145" s="2357"/>
      <c r="O145" s="2357"/>
      <c r="P145" s="302"/>
    </row>
    <row r="146" spans="1:16" s="293" customFormat="1" ht="13.35" customHeight="1">
      <c r="A146" s="471"/>
      <c r="B146" s="471"/>
      <c r="C146" s="324" t="s">
        <v>1670</v>
      </c>
      <c r="D146" s="2349"/>
      <c r="I146" s="2407"/>
      <c r="P146" s="302"/>
    </row>
    <row r="147" spans="1:16" s="293" customFormat="1" ht="13.35" customHeight="1">
      <c r="A147" s="471"/>
      <c r="B147" s="471"/>
      <c r="C147" s="2347" t="s">
        <v>2358</v>
      </c>
      <c r="D147" s="2347"/>
      <c r="E147" s="1481"/>
      <c r="F147" s="2358"/>
      <c r="I147" s="2427"/>
      <c r="K147" s="270" t="s">
        <v>2188</v>
      </c>
      <c r="O147" s="2705" t="s">
        <v>475</v>
      </c>
      <c r="P147" s="2707"/>
    </row>
    <row r="148" spans="1:16" s="293" customFormat="1" ht="13.35" customHeight="1">
      <c r="A148" s="471"/>
      <c r="B148" s="471"/>
      <c r="C148" s="2347" t="s">
        <v>2356</v>
      </c>
      <c r="F148" s="2358"/>
      <c r="I148" s="2428" t="s">
        <v>2889</v>
      </c>
      <c r="K148" s="270" t="s">
        <v>2189</v>
      </c>
      <c r="O148" s="2714" t="s">
        <v>475</v>
      </c>
      <c r="P148" s="2701"/>
    </row>
    <row r="149" spans="1:16" s="293" customFormat="1" ht="13.35" customHeight="1">
      <c r="A149" s="471"/>
      <c r="B149" s="471"/>
      <c r="C149" s="2347" t="s">
        <v>2116</v>
      </c>
      <c r="D149" s="2347"/>
      <c r="E149" s="2347"/>
      <c r="F149" s="2358"/>
      <c r="I149" s="2829"/>
      <c r="J149" s="2830"/>
      <c r="N149" s="2357"/>
      <c r="O149" s="2357"/>
      <c r="P149" s="302"/>
    </row>
    <row r="150" spans="1:16" s="293" customFormat="1" ht="1.5" customHeight="1">
      <c r="A150" s="471"/>
      <c r="B150" s="471"/>
      <c r="C150" s="2347"/>
      <c r="D150" s="2347"/>
      <c r="E150" s="2347"/>
      <c r="F150" s="2358"/>
      <c r="G150" s="2358"/>
      <c r="M150" s="2358"/>
      <c r="N150" s="2357"/>
      <c r="O150" s="2357"/>
      <c r="P150" s="302"/>
    </row>
    <row r="151" spans="1:16" s="293" customFormat="1" ht="13.35" customHeight="1">
      <c r="A151" s="471"/>
      <c r="B151" s="471" t="s">
        <v>1938</v>
      </c>
      <c r="C151" s="1520" t="s">
        <v>2622</v>
      </c>
      <c r="D151" s="2347"/>
      <c r="E151" s="316" t="s">
        <v>4463</v>
      </c>
      <c r="F151" s="316"/>
      <c r="G151" s="316"/>
      <c r="I151" s="2429" t="s">
        <v>2889</v>
      </c>
      <c r="K151" s="316" t="s">
        <v>4465</v>
      </c>
      <c r="L151" s="316"/>
      <c r="M151" s="316"/>
      <c r="O151" s="2430" t="s">
        <v>2889</v>
      </c>
      <c r="P151" s="302"/>
    </row>
    <row r="152" spans="1:16" s="293" customFormat="1" ht="13.35" customHeight="1">
      <c r="A152" s="471"/>
      <c r="C152" s="1481"/>
      <c r="D152" s="2347"/>
      <c r="E152" s="316" t="s">
        <v>4464</v>
      </c>
      <c r="F152" s="316"/>
      <c r="G152" s="316"/>
      <c r="I152" s="2431" t="s">
        <v>2889</v>
      </c>
      <c r="K152" s="316"/>
      <c r="L152" s="316"/>
      <c r="M152" s="316"/>
      <c r="P152" s="302"/>
    </row>
    <row r="153" spans="1:16" s="293" customFormat="1" ht="1.5" customHeight="1">
      <c r="A153" s="471"/>
      <c r="B153" s="471"/>
      <c r="C153" s="2347"/>
      <c r="D153" s="2347"/>
      <c r="E153" s="2347"/>
      <c r="F153" s="2358"/>
      <c r="N153" s="2357"/>
      <c r="O153" s="2357"/>
      <c r="P153" s="302"/>
    </row>
    <row r="154" spans="1:16" s="293" customFormat="1" ht="13.35" customHeight="1">
      <c r="A154" s="471"/>
      <c r="B154" s="471" t="s">
        <v>731</v>
      </c>
      <c r="C154" s="1481" t="s">
        <v>4462</v>
      </c>
      <c r="D154" s="2347"/>
      <c r="E154" s="2347"/>
      <c r="F154" s="2358"/>
      <c r="I154" s="2421" t="s">
        <v>2889</v>
      </c>
      <c r="N154" s="2357"/>
      <c r="O154" s="2357"/>
      <c r="P154" s="302"/>
    </row>
    <row r="155" spans="1:16" s="293" customFormat="1" ht="3" customHeight="1">
      <c r="A155" s="471"/>
      <c r="B155" s="471"/>
      <c r="C155" s="2347"/>
      <c r="D155" s="2347"/>
      <c r="E155" s="2347"/>
      <c r="F155" s="2358"/>
      <c r="G155" s="2358"/>
      <c r="H155" s="2358"/>
      <c r="I155" s="2358"/>
      <c r="J155" s="309"/>
      <c r="K155" s="2358"/>
      <c r="L155" s="2358"/>
      <c r="N155" s="2357"/>
      <c r="O155" s="2357"/>
      <c r="P155" s="302"/>
    </row>
    <row r="156" spans="1:16" s="293" customFormat="1" ht="13.35" customHeight="1">
      <c r="A156" s="319" t="s">
        <v>1683</v>
      </c>
      <c r="B156" s="317" t="s">
        <v>1165</v>
      </c>
      <c r="D156" s="317"/>
      <c r="E156" s="317"/>
      <c r="F156" s="317"/>
      <c r="G156" s="2358"/>
      <c r="H156" s="2358"/>
      <c r="I156" s="2358"/>
      <c r="J156" s="309"/>
      <c r="K156" s="2358"/>
      <c r="L156" s="2358"/>
      <c r="N156" s="2357"/>
      <c r="O156" s="2357"/>
      <c r="P156" s="302"/>
    </row>
    <row r="157" spans="1:16" s="293" customFormat="1" ht="2.1" customHeight="1">
      <c r="A157" s="319"/>
      <c r="B157" s="471"/>
      <c r="C157" s="1481"/>
      <c r="D157" s="1481"/>
      <c r="E157" s="1481"/>
      <c r="F157" s="1481"/>
      <c r="G157" s="2358"/>
      <c r="H157" s="2358"/>
      <c r="I157" s="2358"/>
      <c r="J157" s="309"/>
      <c r="K157" s="2358"/>
      <c r="L157" s="2358"/>
      <c r="N157" s="2357"/>
      <c r="O157" s="2357"/>
    </row>
    <row r="158" spans="1:16" s="293" customFormat="1" ht="13.35" customHeight="1">
      <c r="A158" s="471"/>
      <c r="B158" s="471" t="s">
        <v>1936</v>
      </c>
      <c r="C158" s="308" t="s">
        <v>1775</v>
      </c>
      <c r="F158" s="2358"/>
      <c r="G158" s="2358"/>
      <c r="H158" s="2358"/>
      <c r="I158" s="2358"/>
      <c r="J158" s="309"/>
      <c r="K158" s="2358"/>
      <c r="L158" s="2358"/>
      <c r="N158" s="2357"/>
      <c r="O158" s="2357"/>
      <c r="P158" s="302"/>
    </row>
    <row r="159" spans="1:16" s="293" customFormat="1" ht="12.6" customHeight="1">
      <c r="A159" s="471"/>
      <c r="B159" s="471"/>
      <c r="C159" s="316" t="s">
        <v>1495</v>
      </c>
      <c r="D159" s="309"/>
      <c r="E159" s="309"/>
      <c r="F159" s="2358"/>
      <c r="G159" s="2358"/>
      <c r="H159" s="2358"/>
      <c r="I159" s="2432" t="s">
        <v>2889</v>
      </c>
      <c r="N159" s="2357"/>
      <c r="O159" s="2357"/>
      <c r="P159" s="302"/>
    </row>
    <row r="160" spans="1:16" s="293" customFormat="1" ht="12.6" customHeight="1">
      <c r="A160" s="471"/>
      <c r="B160" s="471"/>
      <c r="C160" s="2769" t="s">
        <v>4523</v>
      </c>
      <c r="D160" s="2769"/>
      <c r="E160" s="2769"/>
      <c r="F160" s="2769"/>
      <c r="G160" s="293" t="s">
        <v>4273</v>
      </c>
      <c r="I160" s="2433"/>
      <c r="K160" s="2349" t="s">
        <v>1751</v>
      </c>
      <c r="P160" s="1416">
        <f>IF('Part VI-Revenues &amp; Expenses'!$P$65=0,0,I160/'Part VI-Revenues &amp; Expenses'!$P$65)</f>
        <v>0</v>
      </c>
    </row>
    <row r="161" spans="1:16" s="293" customFormat="1" ht="12.6" customHeight="1">
      <c r="A161" s="471"/>
      <c r="B161" s="471"/>
      <c r="C161" s="2769"/>
      <c r="D161" s="2769"/>
      <c r="E161" s="2769"/>
      <c r="F161" s="2769"/>
      <c r="G161" s="293" t="s">
        <v>4272</v>
      </c>
      <c r="I161" s="2433"/>
      <c r="K161" s="2349" t="s">
        <v>1751</v>
      </c>
      <c r="O161" s="2363"/>
      <c r="P161" s="1417">
        <f>IF('Part VI-Revenues &amp; Expenses'!$P$65=0,0,I161/'Part VI-Revenues &amp; Expenses'!$P$65)</f>
        <v>0</v>
      </c>
    </row>
    <row r="162" spans="1:16" s="293" customFormat="1" ht="12" customHeight="1">
      <c r="A162" s="471"/>
      <c r="B162" s="471"/>
      <c r="C162" s="2349" t="s">
        <v>4274</v>
      </c>
      <c r="I162" s="2414"/>
      <c r="K162" s="2349"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705"/>
      <c r="E164" s="2706"/>
      <c r="F164" s="2706"/>
      <c r="G164" s="2706"/>
      <c r="H164" s="2707"/>
      <c r="I164" s="2349" t="s">
        <v>4227</v>
      </c>
      <c r="N164" s="2862"/>
      <c r="O164" s="2863"/>
      <c r="P164" s="2690"/>
    </row>
    <row r="165" spans="1:16" s="293" customFormat="1" ht="12.6" customHeight="1">
      <c r="A165" s="471"/>
      <c r="B165" s="471"/>
      <c r="C165" s="2349" t="s">
        <v>4228</v>
      </c>
      <c r="D165" s="2743"/>
      <c r="E165" s="2744"/>
      <c r="F165" s="2699"/>
      <c r="G165" s="2744"/>
      <c r="H165" s="2745"/>
      <c r="I165" s="2356" t="s">
        <v>1753</v>
      </c>
      <c r="J165" s="2705"/>
      <c r="K165" s="2706"/>
      <c r="L165" s="2707"/>
      <c r="M165" s="1403" t="s">
        <v>1933</v>
      </c>
      <c r="N165" s="2743"/>
      <c r="O165" s="2744"/>
      <c r="P165" s="2745"/>
    </row>
    <row r="166" spans="1:16" s="293" customFormat="1" ht="12.6" customHeight="1">
      <c r="A166" s="471"/>
      <c r="B166" s="471"/>
      <c r="C166" s="2349" t="s">
        <v>600</v>
      </c>
      <c r="D166" s="2743"/>
      <c r="E166" s="2745"/>
      <c r="F166" s="1401" t="s">
        <v>2173</v>
      </c>
      <c r="G166" s="2864"/>
      <c r="H166" s="2865"/>
      <c r="I166" s="325" t="s">
        <v>1756</v>
      </c>
      <c r="J166" s="2859"/>
      <c r="K166" s="2860"/>
      <c r="L166" s="2861"/>
      <c r="M166" s="1402" t="s">
        <v>1932</v>
      </c>
      <c r="N166" s="2859"/>
      <c r="O166" s="2860"/>
      <c r="P166" s="2861"/>
    </row>
    <row r="167" spans="1:16" s="293" customFormat="1" ht="12.6" customHeight="1">
      <c r="A167" s="471"/>
      <c r="B167" s="471"/>
      <c r="C167" s="293" t="s">
        <v>2625</v>
      </c>
      <c r="D167" s="2680"/>
      <c r="E167" s="2681"/>
      <c r="F167" s="2681"/>
      <c r="G167" s="2681"/>
      <c r="H167" s="2683"/>
      <c r="I167" s="325" t="s">
        <v>1755</v>
      </c>
      <c r="J167" s="2858"/>
      <c r="K167" s="2816"/>
      <c r="L167" s="2816"/>
      <c r="M167" s="2816"/>
      <c r="N167" s="2816"/>
      <c r="O167" s="2816"/>
      <c r="P167" s="2817"/>
    </row>
    <row r="168" spans="1:16" s="293" customFormat="1" ht="12" customHeight="1">
      <c r="A168" s="471"/>
      <c r="B168" s="471"/>
      <c r="C168" s="293" t="s">
        <v>4275</v>
      </c>
      <c r="E168" s="326"/>
      <c r="F168" s="326"/>
      <c r="G168" s="326"/>
      <c r="H168" s="2358"/>
      <c r="I168" s="2430" t="s">
        <v>2889</v>
      </c>
      <c r="J168" s="2866" t="s">
        <v>743</v>
      </c>
      <c r="K168" s="2867"/>
      <c r="L168" s="2421"/>
      <c r="M168" s="326"/>
      <c r="N168" s="2358"/>
      <c r="O168" s="326"/>
      <c r="P168" s="326"/>
    </row>
    <row r="169" spans="1:16" s="293" customFormat="1" ht="3" customHeight="1">
      <c r="A169" s="471"/>
      <c r="B169" s="471"/>
    </row>
    <row r="170" spans="1:16" s="293" customFormat="1" ht="12.6" customHeight="1">
      <c r="A170" s="471"/>
      <c r="B170" s="471" t="s">
        <v>1938</v>
      </c>
      <c r="C170" s="2351" t="s">
        <v>2623</v>
      </c>
      <c r="D170" s="2351"/>
      <c r="E170" s="2351"/>
      <c r="F170" s="2351"/>
      <c r="G170" s="2351"/>
      <c r="I170" s="2434" t="s">
        <v>2889</v>
      </c>
      <c r="J170" s="2851" t="s">
        <v>743</v>
      </c>
      <c r="K170" s="2852"/>
      <c r="L170" s="2434"/>
      <c r="M170" s="2853" t="s">
        <v>2267</v>
      </c>
      <c r="N170" s="2854"/>
      <c r="O170" s="2855"/>
      <c r="P170" s="2435"/>
    </row>
    <row r="171" spans="1:16" s="293" customFormat="1" ht="12.6" customHeight="1">
      <c r="A171" s="471"/>
      <c r="B171" s="471"/>
      <c r="C171" s="2351" t="s">
        <v>2624</v>
      </c>
      <c r="D171" s="2351"/>
      <c r="E171" s="2351"/>
      <c r="F171" s="2351"/>
      <c r="G171" s="2351"/>
      <c r="I171" s="2419" t="s">
        <v>2886</v>
      </c>
      <c r="J171" s="2851" t="s">
        <v>743</v>
      </c>
      <c r="K171" s="2852"/>
      <c r="L171" s="2419">
        <v>2041</v>
      </c>
      <c r="M171" s="2853" t="s">
        <v>2267</v>
      </c>
      <c r="N171" s="2854"/>
      <c r="O171" s="2855"/>
      <c r="P171" s="2436">
        <v>5</v>
      </c>
    </row>
    <row r="172" spans="1:16" s="293" customFormat="1" ht="1.5" customHeight="1">
      <c r="A172" s="471"/>
      <c r="B172" s="471"/>
      <c r="C172" s="2351"/>
      <c r="D172" s="2351"/>
      <c r="E172" s="295"/>
      <c r="F172" s="2351"/>
      <c r="G172" s="2351"/>
      <c r="J172" s="2357"/>
      <c r="K172" s="368"/>
      <c r="M172" s="2357"/>
      <c r="O172" s="2358"/>
      <c r="P172" s="302"/>
    </row>
    <row r="173" spans="1:16" s="293" customFormat="1" ht="12.6" customHeight="1">
      <c r="A173" s="471"/>
      <c r="B173" s="471" t="s">
        <v>731</v>
      </c>
      <c r="C173" s="2351" t="s">
        <v>1713</v>
      </c>
      <c r="D173" s="2351"/>
      <c r="E173" s="2351"/>
      <c r="F173" s="2351"/>
      <c r="G173" s="2351"/>
      <c r="I173" s="2411" t="s">
        <v>2889</v>
      </c>
      <c r="L173" s="168"/>
      <c r="M173" s="168"/>
      <c r="P173" s="302"/>
    </row>
    <row r="174" spans="1:16" s="293" customFormat="1" ht="1.5" customHeight="1">
      <c r="A174" s="471"/>
      <c r="B174" s="471"/>
      <c r="C174" s="2349"/>
      <c r="E174" s="326"/>
      <c r="F174" s="326"/>
      <c r="G174" s="326"/>
      <c r="I174" s="326"/>
      <c r="J174" s="326"/>
      <c r="K174" s="2358"/>
      <c r="L174" s="326"/>
      <c r="M174" s="326"/>
      <c r="N174" s="2358"/>
      <c r="O174" s="326"/>
      <c r="P174" s="326"/>
    </row>
    <row r="175" spans="1:16" s="293" customFormat="1" ht="12.6" customHeight="1">
      <c r="A175" s="471"/>
      <c r="B175" s="471" t="s">
        <v>2065</v>
      </c>
      <c r="C175" s="2856" t="s">
        <v>1931</v>
      </c>
      <c r="D175" s="2856"/>
      <c r="E175" s="2856"/>
      <c r="F175" s="2856"/>
      <c r="G175" s="2351"/>
      <c r="I175" s="2411" t="s">
        <v>2889</v>
      </c>
      <c r="J175" s="328" t="s">
        <v>2665</v>
      </c>
      <c r="L175" s="2857" t="s">
        <v>3523</v>
      </c>
      <c r="M175" s="2857"/>
      <c r="N175" s="2351"/>
      <c r="O175" s="2351"/>
      <c r="P175" s="2412"/>
    </row>
    <row r="176" spans="1:16" s="293" customFormat="1" ht="12.6" customHeight="1">
      <c r="B176" s="471"/>
      <c r="L176" s="2754" t="s">
        <v>777</v>
      </c>
      <c r="M176" s="2754"/>
      <c r="N176" s="1481"/>
      <c r="O176" s="1481"/>
      <c r="P176" s="2414"/>
    </row>
    <row r="177" spans="1:16" s="293" customFormat="1" ht="12.6" customHeight="1">
      <c r="A177" s="471"/>
      <c r="B177" s="471"/>
      <c r="L177" s="2754" t="s">
        <v>1747</v>
      </c>
      <c r="M177" s="2754"/>
      <c r="N177" s="1481"/>
      <c r="O177" s="1481"/>
      <c r="P177" s="327" t="str">
        <f>IF(P175="","",P176/P175)</f>
        <v/>
      </c>
    </row>
    <row r="178" spans="1:16" s="293" customFormat="1" ht="13.35" customHeight="1">
      <c r="A178" s="471"/>
      <c r="B178" s="471" t="s">
        <v>1692</v>
      </c>
      <c r="C178" s="2351" t="s">
        <v>1576</v>
      </c>
      <c r="D178" s="2347"/>
      <c r="E178" s="2347"/>
      <c r="F178" s="2347"/>
      <c r="G178" s="2347"/>
      <c r="H178" s="2358"/>
      <c r="J178" s="301"/>
      <c r="K178" s="309"/>
      <c r="M178" s="2357"/>
      <c r="O178" s="2358"/>
      <c r="P178" s="302"/>
    </row>
    <row r="179" spans="1:16" s="293" customFormat="1" ht="12.6" customHeight="1">
      <c r="A179" s="471"/>
      <c r="B179" s="471"/>
      <c r="C179" s="2357" t="s">
        <v>2156</v>
      </c>
      <c r="D179" s="303"/>
      <c r="E179" s="2357"/>
      <c r="F179" s="2357"/>
      <c r="I179" s="2432" t="s">
        <v>2889</v>
      </c>
      <c r="L179" s="2357" t="s">
        <v>1577</v>
      </c>
      <c r="M179" s="2357"/>
      <c r="N179" s="2357"/>
      <c r="P179" s="2432" t="s">
        <v>2886</v>
      </c>
    </row>
    <row r="180" spans="1:16" s="293" customFormat="1" ht="12.6" customHeight="1">
      <c r="A180" s="471"/>
      <c r="B180" s="471"/>
      <c r="C180" s="2357" t="s">
        <v>2157</v>
      </c>
      <c r="I180" s="2428" t="s">
        <v>2889</v>
      </c>
      <c r="L180" s="2357" t="s">
        <v>2746</v>
      </c>
      <c r="M180" s="2357"/>
      <c r="N180" s="2357"/>
      <c r="P180" s="2428" t="s">
        <v>2889</v>
      </c>
    </row>
    <row r="181" spans="1:16" s="293" customFormat="1" ht="12.6" customHeight="1">
      <c r="A181" s="471"/>
      <c r="C181" s="2357" t="s">
        <v>2641</v>
      </c>
      <c r="I181" s="2428" t="s">
        <v>2889</v>
      </c>
      <c r="L181" s="2357" t="s">
        <v>2612</v>
      </c>
      <c r="N181" s="2832"/>
      <c r="O181" s="2833"/>
      <c r="P181" s="2428" t="s">
        <v>2889</v>
      </c>
    </row>
    <row r="182" spans="1:16" s="293" customFormat="1" ht="12.6" customHeight="1">
      <c r="A182" s="471"/>
      <c r="B182" s="471"/>
      <c r="C182" s="2357" t="s">
        <v>1259</v>
      </c>
      <c r="D182" s="329"/>
      <c r="I182" s="2428" t="s">
        <v>2889</v>
      </c>
      <c r="K182" s="303"/>
      <c r="L182" s="2357" t="s">
        <v>3362</v>
      </c>
      <c r="M182" s="2357"/>
      <c r="N182" s="2357"/>
      <c r="P182" s="2428" t="s">
        <v>2889</v>
      </c>
    </row>
    <row r="183" spans="1:16" s="293" customFormat="1" ht="12.6" customHeight="1">
      <c r="A183" s="471"/>
      <c r="B183" s="295"/>
      <c r="C183" s="2357" t="s">
        <v>4522</v>
      </c>
      <c r="I183" s="2428" t="s">
        <v>2889</v>
      </c>
      <c r="J183" s="328" t="s">
        <v>2666</v>
      </c>
      <c r="O183" s="2834"/>
      <c r="P183" s="2835"/>
    </row>
    <row r="184" spans="1:16" s="293" customFormat="1" ht="12.6" customHeight="1">
      <c r="A184" s="471"/>
      <c r="B184" s="295"/>
      <c r="C184" s="2357" t="s">
        <v>1761</v>
      </c>
      <c r="I184" s="2428" t="s">
        <v>2889</v>
      </c>
      <c r="J184" s="328" t="s">
        <v>2666</v>
      </c>
      <c r="O184" s="2848"/>
      <c r="P184" s="2849"/>
    </row>
    <row r="185" spans="1:16" s="293" customFormat="1" ht="12.6" customHeight="1">
      <c r="A185" s="471"/>
      <c r="B185" s="471"/>
      <c r="C185" s="2357" t="s">
        <v>2800</v>
      </c>
      <c r="I185" s="2431" t="s">
        <v>2889</v>
      </c>
      <c r="J185" s="328" t="s">
        <v>2666</v>
      </c>
      <c r="O185" s="2836"/>
      <c r="P185" s="283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9" t="s">
        <v>621</v>
      </c>
      <c r="D188" s="2347"/>
      <c r="E188" s="2347"/>
      <c r="F188" s="2358"/>
      <c r="G188" s="2358"/>
      <c r="H188" s="2785"/>
      <c r="I188" s="2786"/>
      <c r="N188" s="2357"/>
      <c r="O188" s="2357"/>
      <c r="P188" s="302"/>
    </row>
    <row r="189" spans="1:16" s="293" customFormat="1" ht="12.6" customHeight="1">
      <c r="A189" s="471"/>
      <c r="B189" s="471"/>
      <c r="C189" s="2349" t="s">
        <v>271</v>
      </c>
      <c r="D189" s="2347"/>
      <c r="E189" s="2347"/>
      <c r="F189" s="2358"/>
      <c r="G189" s="2358"/>
      <c r="H189" s="2844"/>
      <c r="I189" s="2845"/>
      <c r="N189" s="2357"/>
      <c r="O189" s="2357"/>
      <c r="P189" s="302"/>
    </row>
    <row r="190" spans="1:16" s="293" customFormat="1" ht="12.6" customHeight="1">
      <c r="A190" s="471"/>
      <c r="B190" s="471"/>
      <c r="C190" s="2349" t="s">
        <v>2237</v>
      </c>
      <c r="D190" s="2347"/>
      <c r="E190" s="2347"/>
      <c r="F190" s="2358"/>
      <c r="G190" s="2358"/>
      <c r="H190" s="2846">
        <v>44926</v>
      </c>
      <c r="I190" s="2847"/>
      <c r="N190" s="2357"/>
      <c r="O190" s="2357"/>
      <c r="P190" s="302"/>
    </row>
    <row r="191" spans="1:16" s="293" customFormat="1" ht="2.25" customHeight="1">
      <c r="B191" s="295"/>
      <c r="C191" s="2357"/>
      <c r="H191" s="2357"/>
      <c r="L191" s="311"/>
      <c r="M191" s="311"/>
      <c r="N191" s="311"/>
      <c r="O191" s="311"/>
      <c r="P191" s="299"/>
    </row>
    <row r="192" spans="1:16" ht="12" customHeight="1">
      <c r="A192" s="319" t="s">
        <v>2691</v>
      </c>
      <c r="C192" s="319" t="s">
        <v>555</v>
      </c>
      <c r="M192" s="319" t="s">
        <v>2194</v>
      </c>
      <c r="N192" s="319" t="s">
        <v>77</v>
      </c>
    </row>
    <row r="193" spans="1:44" ht="409.5" customHeight="1">
      <c r="A193" s="2838" t="s">
        <v>7156</v>
      </c>
      <c r="B193" s="2839"/>
      <c r="C193" s="2839"/>
      <c r="D193" s="2839"/>
      <c r="E193" s="2839"/>
      <c r="F193" s="2839"/>
      <c r="G193" s="2839"/>
      <c r="H193" s="2839"/>
      <c r="I193" s="2839"/>
      <c r="J193" s="2839"/>
      <c r="K193" s="2839"/>
      <c r="L193" s="2840"/>
      <c r="M193" s="2841"/>
      <c r="N193" s="2842"/>
      <c r="O193" s="2842"/>
      <c r="P193" s="2843"/>
      <c r="Q193" s="2679" t="s">
        <v>2614</v>
      </c>
      <c r="R193" s="2679"/>
      <c r="S193" s="2679"/>
      <c r="T193" s="2679"/>
      <c r="U193" s="2679"/>
    </row>
    <row r="194" spans="1:44" ht="12" customHeight="1">
      <c r="Q194" s="2679"/>
      <c r="R194" s="2679"/>
      <c r="S194" s="2679"/>
      <c r="T194" s="2679"/>
      <c r="U194" s="2679"/>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243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243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243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243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243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243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243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243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243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3650</v>
      </c>
      <c r="K223" s="311"/>
      <c r="L223" s="311"/>
      <c r="M223" s="311"/>
      <c r="N223" s="311"/>
      <c r="O223" s="311"/>
      <c r="P223" s="1033"/>
      <c r="Q223" s="243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9"/>
      <c r="Q247" s="2437"/>
      <c r="R247" s="1033"/>
      <c r="S247" s="244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7"/>
      <c r="R248" s="1033"/>
      <c r="S248" s="244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7"/>
      <c r="R249" s="1033"/>
      <c r="S249" s="244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7"/>
      <c r="R250" s="1033"/>
      <c r="S250" s="244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9"/>
      <c r="Q255" s="243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9"/>
      <c r="Q263" s="243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9"/>
      <c r="Q305" s="243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9"/>
      <c r="Q334" s="243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8"/>
      <c r="Q340" s="243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9"/>
      <c r="Q358" s="243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7"/>
      <c r="R360" s="1033"/>
      <c r="S360" s="244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7"/>
      <c r="R361" s="1033"/>
      <c r="S361" s="244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7"/>
      <c r="R362" s="1033"/>
      <c r="S362" s="244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4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9"/>
      <c r="Q364" s="1031"/>
      <c r="R364" s="1033"/>
      <c r="S364" s="244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4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4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4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4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4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4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4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4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40" t="s">
        <v>92</v>
      </c>
      <c r="S620" s="2440" t="s">
        <v>94</v>
      </c>
      <c r="T620" s="244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40" t="s">
        <v>2495</v>
      </c>
      <c r="S621" s="2440" t="s">
        <v>610</v>
      </c>
      <c r="T621" s="244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2"/>
      <c r="R622" s="2440" t="s">
        <v>2496</v>
      </c>
      <c r="S622" s="2440" t="s">
        <v>314</v>
      </c>
      <c r="T622" s="244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40" t="s">
        <v>2497</v>
      </c>
      <c r="S623" s="2440" t="s">
        <v>2419</v>
      </c>
      <c r="T623" s="244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40" t="s">
        <v>2498</v>
      </c>
      <c r="S624" s="2440"/>
      <c r="T624" s="244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40" t="s">
        <v>2499</v>
      </c>
      <c r="S625" s="2440" t="s">
        <v>1960</v>
      </c>
      <c r="T625" s="244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40" t="s">
        <v>2500</v>
      </c>
      <c r="S626" s="2440" t="s">
        <v>2419</v>
      </c>
      <c r="T626" s="244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40" t="s">
        <v>2501</v>
      </c>
      <c r="S627" s="2440" t="s">
        <v>1300</v>
      </c>
      <c r="T627" s="244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40" t="s">
        <v>2502</v>
      </c>
      <c r="S628" s="2440" t="s">
        <v>1962</v>
      </c>
      <c r="T628" s="244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40" t="s">
        <v>2503</v>
      </c>
      <c r="S629" s="2440" t="s">
        <v>648</v>
      </c>
      <c r="T629" s="244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40" t="s">
        <v>2504</v>
      </c>
      <c r="S630" s="2440" t="s">
        <v>610</v>
      </c>
      <c r="T630" s="244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40" t="s">
        <v>2505</v>
      </c>
      <c r="S631" s="2440" t="s">
        <v>2122</v>
      </c>
      <c r="T631" s="244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40" t="s">
        <v>2506</v>
      </c>
      <c r="S632" s="2440" t="s">
        <v>2465</v>
      </c>
      <c r="T632" s="244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40" t="s">
        <v>2187</v>
      </c>
      <c r="S633" s="2440" t="s">
        <v>2462</v>
      </c>
      <c r="T633" s="244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40" t="s">
        <v>2507</v>
      </c>
      <c r="S634" s="2440" t="s">
        <v>2122</v>
      </c>
      <c r="T634" s="244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40" t="s">
        <v>2508</v>
      </c>
      <c r="S635" s="2440" t="s">
        <v>2422</v>
      </c>
      <c r="T635" s="244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41"/>
      <c r="R636" s="2440" t="s">
        <v>2509</v>
      </c>
      <c r="S636" s="2440" t="s">
        <v>1960</v>
      </c>
      <c r="T636" s="244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40" t="s">
        <v>1023</v>
      </c>
      <c r="S637" s="2440" t="s">
        <v>1427</v>
      </c>
      <c r="T637" s="244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2"/>
      <c r="R638" s="2440" t="s">
        <v>883</v>
      </c>
      <c r="S638" s="2440" t="s">
        <v>1081</v>
      </c>
      <c r="T638" s="244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40" t="s">
        <v>1024</v>
      </c>
      <c r="S639" s="2440" t="s">
        <v>610</v>
      </c>
      <c r="T639" s="244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40" t="s">
        <v>1025</v>
      </c>
      <c r="S640" s="2440" t="s">
        <v>1864</v>
      </c>
      <c r="T640" s="244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2"/>
      <c r="R641" s="2440" t="s">
        <v>1026</v>
      </c>
      <c r="S641" s="2440" t="s">
        <v>1958</v>
      </c>
      <c r="T641" s="244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40" t="s">
        <v>1027</v>
      </c>
      <c r="S642" s="2440" t="s">
        <v>1074</v>
      </c>
      <c r="T642" s="244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4"/>
      <c r="R643" s="2440" t="s">
        <v>1028</v>
      </c>
      <c r="S643" s="2440" t="s">
        <v>1488</v>
      </c>
      <c r="T643" s="244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40" t="s">
        <v>1029</v>
      </c>
      <c r="S644" s="2440" t="s">
        <v>2419</v>
      </c>
      <c r="T644" s="244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2"/>
      <c r="R645" s="2440" t="s">
        <v>1030</v>
      </c>
      <c r="S645" s="2440" t="s">
        <v>155</v>
      </c>
      <c r="T645" s="244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2"/>
      <c r="R646" s="2440" t="s">
        <v>1031</v>
      </c>
      <c r="S646" s="2440" t="s">
        <v>1307</v>
      </c>
      <c r="T646" s="244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40" t="s">
        <v>1032</v>
      </c>
      <c r="S647" s="2440" t="s">
        <v>1488</v>
      </c>
      <c r="T647" s="244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40" t="s">
        <v>1033</v>
      </c>
      <c r="S648" s="2440" t="s">
        <v>1088</v>
      </c>
      <c r="T648" s="244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40" t="s">
        <v>1034</v>
      </c>
      <c r="S649" s="2440" t="s">
        <v>1958</v>
      </c>
      <c r="T649" s="244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40" t="s">
        <v>1035</v>
      </c>
      <c r="S651" s="2440" t="s">
        <v>2422</v>
      </c>
      <c r="T651" s="244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40" t="s">
        <v>1574</v>
      </c>
      <c r="S652" s="2440" t="s">
        <v>2462</v>
      </c>
      <c r="T652" s="244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40" t="s">
        <v>1036</v>
      </c>
      <c r="S653" s="2440"/>
      <c r="T653" s="244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40" t="s">
        <v>180</v>
      </c>
      <c r="S654" s="2440" t="s">
        <v>155</v>
      </c>
      <c r="T654" s="244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40" t="s">
        <v>1037</v>
      </c>
      <c r="S655" s="2440" t="s">
        <v>171</v>
      </c>
      <c r="T655" s="244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40" t="s">
        <v>2227</v>
      </c>
      <c r="S656" s="2440" t="s">
        <v>1180</v>
      </c>
      <c r="T656" s="244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40" t="s">
        <v>1038</v>
      </c>
      <c r="S657" s="2440" t="s">
        <v>610</v>
      </c>
      <c r="T657" s="244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40" t="s">
        <v>1039</v>
      </c>
      <c r="S658" s="2440" t="s">
        <v>610</v>
      </c>
      <c r="T658" s="244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40" t="s">
        <v>1040</v>
      </c>
      <c r="S659" s="2440" t="s">
        <v>610</v>
      </c>
      <c r="T659" s="244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40" t="s">
        <v>1041</v>
      </c>
      <c r="S660" s="2440" t="s">
        <v>610</v>
      </c>
      <c r="T660" s="244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40" t="s">
        <v>1042</v>
      </c>
      <c r="S661" s="2440" t="s">
        <v>1629</v>
      </c>
      <c r="T661" s="244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40" t="s">
        <v>1043</v>
      </c>
      <c r="S662" s="2440" t="s">
        <v>933</v>
      </c>
      <c r="T662" s="244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40" t="s">
        <v>1044</v>
      </c>
      <c r="S663" s="2440" t="s">
        <v>119</v>
      </c>
      <c r="T663" s="244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2"/>
      <c r="R664" s="2440" t="s">
        <v>1045</v>
      </c>
      <c r="S664" s="2440" t="s">
        <v>610</v>
      </c>
      <c r="T664" s="244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40" t="s">
        <v>1046</v>
      </c>
      <c r="S665" s="2440" t="s">
        <v>311</v>
      </c>
      <c r="T665" s="244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40" t="s">
        <v>1047</v>
      </c>
      <c r="S666" s="2440" t="s">
        <v>315</v>
      </c>
      <c r="T666" s="244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40" t="s">
        <v>812</v>
      </c>
      <c r="S667" s="2440" t="s">
        <v>1286</v>
      </c>
      <c r="T667" s="244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40" t="s">
        <v>1048</v>
      </c>
      <c r="S668" s="2440" t="s">
        <v>648</v>
      </c>
      <c r="T668" s="244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40" t="s">
        <v>1049</v>
      </c>
      <c r="S669" s="2440" t="s">
        <v>1488</v>
      </c>
      <c r="T669" s="244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40" t="s">
        <v>1050</v>
      </c>
      <c r="S670" s="2440" t="s">
        <v>610</v>
      </c>
      <c r="T670" s="244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40" t="s">
        <v>1051</v>
      </c>
      <c r="S671" s="2440" t="s">
        <v>640</v>
      </c>
      <c r="T671" s="244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40" t="s">
        <v>1052</v>
      </c>
      <c r="S672" s="2440" t="s">
        <v>155</v>
      </c>
      <c r="T672" s="244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41"/>
      <c r="R673" s="2440" t="s">
        <v>1053</v>
      </c>
      <c r="S673" s="2440" t="s">
        <v>1864</v>
      </c>
      <c r="T673" s="244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2"/>
      <c r="R674" s="2440" t="s">
        <v>1054</v>
      </c>
      <c r="S674" s="2440" t="s">
        <v>1958</v>
      </c>
      <c r="T674" s="244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40" t="s">
        <v>1055</v>
      </c>
      <c r="S675" s="2440" t="s">
        <v>610</v>
      </c>
      <c r="T675" s="244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40" t="s">
        <v>1056</v>
      </c>
      <c r="S676" s="2440" t="s">
        <v>1629</v>
      </c>
      <c r="T676" s="244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2"/>
      <c r="R677" s="2440" t="s">
        <v>1057</v>
      </c>
      <c r="S677" s="2440" t="s">
        <v>2422</v>
      </c>
      <c r="T677" s="244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40" t="s">
        <v>1058</v>
      </c>
      <c r="S678" s="2440" t="s">
        <v>155</v>
      </c>
      <c r="T678" s="244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40" t="s">
        <v>1059</v>
      </c>
      <c r="S679" s="2440" t="s">
        <v>155</v>
      </c>
      <c r="T679" s="244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4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4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4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ZJuEW0DXjH0F2uAIPqvsC2wp7zhqptHSd++hOlmluRqJXB98acHD0kOLRflJPOi/VBYnXEDy4pBSR2/ra0iUlg==" saltValue="ZenXAyHeYaR06cawKXV72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44" t="s">
        <v>2976</v>
      </c>
      <c r="B1" s="4044"/>
      <c r="C1" s="4044"/>
      <c r="D1" s="4044"/>
      <c r="E1" s="4044"/>
      <c r="F1" s="4044"/>
      <c r="G1" s="4044"/>
      <c r="H1" s="4044"/>
      <c r="I1" s="4044"/>
      <c r="J1" s="4044"/>
      <c r="K1" s="4044"/>
    </row>
    <row r="2" spans="1:11" ht="15.6">
      <c r="A2" s="4058" t="str">
        <f>'Sensitivity Analysis'!C8</f>
        <v>The Pointe at St. Martin</v>
      </c>
      <c r="B2" s="4058"/>
      <c r="C2" s="4058"/>
      <c r="D2" s="4058"/>
      <c r="E2" s="4058"/>
      <c r="F2" s="4058"/>
      <c r="G2" s="4058"/>
      <c r="H2" s="4058"/>
      <c r="I2" s="4058"/>
      <c r="J2" s="4058"/>
      <c r="K2" s="4058"/>
    </row>
    <row r="3" spans="1:11" ht="9" customHeight="1">
      <c r="A3" s="731"/>
      <c r="B3" s="731"/>
      <c r="C3" s="731"/>
    </row>
    <row r="4" spans="1:11" ht="17.399999999999999">
      <c r="A4" s="732" t="s">
        <v>3422</v>
      </c>
      <c r="B4" s="731"/>
      <c r="C4" s="731"/>
      <c r="K4" s="733"/>
    </row>
    <row r="5" spans="1:11" s="688" customFormat="1" ht="42" customHeight="1">
      <c r="C5" s="4045" t="s">
        <v>4100</v>
      </c>
      <c r="D5" s="4046"/>
      <c r="E5" s="4047"/>
      <c r="F5" s="538"/>
      <c r="G5" s="4045" t="s">
        <v>4101</v>
      </c>
      <c r="H5" s="4046"/>
      <c r="I5" s="4047"/>
      <c r="J5" s="730"/>
      <c r="K5" s="4056" t="s">
        <v>4102</v>
      </c>
    </row>
    <row r="6" spans="1:11" s="735" customFormat="1" ht="15" customHeight="1">
      <c r="A6" s="734" t="s">
        <v>2634</v>
      </c>
      <c r="C6" s="736" t="s">
        <v>3407</v>
      </c>
      <c r="D6" s="736" t="s">
        <v>4103</v>
      </c>
      <c r="E6" s="736" t="s">
        <v>1943</v>
      </c>
      <c r="G6" s="736" t="s">
        <v>3408</v>
      </c>
      <c r="H6" s="736" t="s">
        <v>4104</v>
      </c>
      <c r="I6" s="736" t="s">
        <v>1943</v>
      </c>
      <c r="K6" s="4057"/>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8</v>
      </c>
      <c r="E8" s="740">
        <f>C8*D8</f>
        <v>0</v>
      </c>
      <c r="G8" s="738"/>
      <c r="H8" s="739">
        <f>'Part VI-Revenues &amp; Expenses'!$L$67</f>
        <v>8</v>
      </c>
      <c r="I8" s="740">
        <f>G8*H8</f>
        <v>0</v>
      </c>
      <c r="K8" s="737" t="s">
        <v>3409</v>
      </c>
    </row>
    <row r="9" spans="1:11" s="538" customFormat="1" ht="13.5" customHeight="1">
      <c r="A9" s="538" t="s">
        <v>2633</v>
      </c>
      <c r="C9" s="738"/>
      <c r="D9" s="1184">
        <f>'Part VI-Revenues &amp; Expenses'!$M$63</f>
        <v>36</v>
      </c>
      <c r="E9" s="740">
        <f>C9*D9</f>
        <v>0</v>
      </c>
      <c r="G9" s="738"/>
      <c r="H9" s="739">
        <f>'Part VI-Revenues &amp; Expenses'!$M$67</f>
        <v>36</v>
      </c>
      <c r="I9" s="740">
        <f>G9*H9</f>
        <v>0</v>
      </c>
      <c r="K9" s="1191">
        <f>'Part IV-A-Uses of Funds'!$G$132</f>
        <v>11974075</v>
      </c>
    </row>
    <row r="10" spans="1:11" s="538" customFormat="1" ht="13.5" customHeight="1">
      <c r="A10" s="538" t="s">
        <v>2636</v>
      </c>
      <c r="C10" s="738"/>
      <c r="D10" s="1184">
        <f>'Part VI-Revenues &amp; Expenses'!$N$63</f>
        <v>16</v>
      </c>
      <c r="E10" s="740">
        <f>C10*D10</f>
        <v>0</v>
      </c>
      <c r="G10" s="738"/>
      <c r="H10" s="739">
        <f>'Part VI-Revenues &amp; Expenses'!$N$67</f>
        <v>16</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4048" t="s">
        <v>3414</v>
      </c>
    </row>
    <row r="12" spans="1:11" ht="13.5" customHeight="1" thickBot="1">
      <c r="A12" s="746" t="s">
        <v>3381</v>
      </c>
      <c r="D12" s="777">
        <f>SUM(D7:D11)</f>
        <v>60</v>
      </c>
      <c r="E12" s="747"/>
      <c r="G12" s="746" t="s">
        <v>1749</v>
      </c>
      <c r="H12" s="1190">
        <f>SUM(H7:H11)</f>
        <v>60</v>
      </c>
      <c r="I12" s="747"/>
      <c r="K12" s="4049"/>
    </row>
    <row r="13" spans="1:11" s="538" customFormat="1" ht="13.5" customHeight="1" thickBot="1">
      <c r="A13" s="746" t="s">
        <v>2978</v>
      </c>
      <c r="B13" s="748"/>
      <c r="E13" s="749">
        <f>SUM(E7:E11)</f>
        <v>0</v>
      </c>
      <c r="G13" s="746" t="s">
        <v>3212</v>
      </c>
      <c r="H13" s="748"/>
      <c r="I13" s="750">
        <f>SUM(I7:I11)</f>
        <v>0</v>
      </c>
      <c r="K13" s="1191">
        <f>'Part VIII-Threshold Criteria'!$P$63</f>
        <v>13226867.600000001</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3891</v>
      </c>
      <c r="F18" s="1193"/>
      <c r="G18" s="1193"/>
      <c r="H18" s="1193"/>
      <c r="I18" s="1193"/>
      <c r="K18" s="1169">
        <f>'Sensitivity Analysis'!$E$13</f>
        <v>60</v>
      </c>
    </row>
    <row r="19" spans="1:11" s="538" customFormat="1" ht="13.5" customHeight="1">
      <c r="A19" s="538" t="s">
        <v>2979</v>
      </c>
      <c r="E19" s="1187"/>
      <c r="K19" s="606">
        <f>'Sensitivity Analysis'!$C$13</f>
        <v>60</v>
      </c>
    </row>
    <row r="20" spans="1:11" ht="3" customHeight="1">
      <c r="A20" s="752"/>
      <c r="E20" s="1188"/>
    </row>
    <row r="21" spans="1:11" s="538" customFormat="1" ht="13.5" customHeight="1">
      <c r="A21" s="538" t="s">
        <v>2980</v>
      </c>
      <c r="E21" s="1186" t="s">
        <v>3412</v>
      </c>
      <c r="K21" s="753">
        <f>K18/K19</f>
        <v>1</v>
      </c>
    </row>
    <row r="22" spans="1:11" ht="6.75" customHeight="1">
      <c r="E22" s="1188"/>
    </row>
    <row r="23" spans="1:11" s="538" customFormat="1" ht="13.5" customHeight="1">
      <c r="A23" s="538" t="s">
        <v>3380</v>
      </c>
      <c r="C23" s="754"/>
      <c r="E23" s="1186" t="s">
        <v>2983</v>
      </c>
      <c r="K23" s="606">
        <f>K9</f>
        <v>11974075</v>
      </c>
    </row>
    <row r="24" spans="1:11" s="538" customFormat="1" ht="13.5" customHeight="1">
      <c r="A24" s="755" t="s">
        <v>1716</v>
      </c>
      <c r="E24" s="1187"/>
      <c r="K24" s="741">
        <f>'Part IV-A-Uses of Funds'!$G$122</f>
        <v>153844</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11820231</v>
      </c>
    </row>
    <row r="29" spans="1:11" ht="6.75" customHeight="1">
      <c r="A29" s="752"/>
      <c r="E29" s="1188"/>
      <c r="K29" s="760"/>
    </row>
    <row r="30" spans="1:11" s="538" customFormat="1" ht="15" customHeight="1">
      <c r="A30" s="748" t="s">
        <v>2986</v>
      </c>
      <c r="E30" s="1186" t="s">
        <v>3417</v>
      </c>
      <c r="F30" s="761"/>
      <c r="G30" s="761"/>
      <c r="H30" s="761"/>
      <c r="I30" s="761"/>
      <c r="K30" s="762">
        <f>K21*K28</f>
        <v>11820231</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600000</v>
      </c>
    </row>
    <row r="37" spans="1:11" s="538" customFormat="1" ht="9" customHeight="1" thickBot="1">
      <c r="E37" s="767"/>
      <c r="F37" s="767"/>
      <c r="G37" s="767"/>
      <c r="H37" s="767"/>
      <c r="K37" s="768"/>
    </row>
    <row r="38" spans="1:11" s="538" customFormat="1" ht="15.75" customHeight="1">
      <c r="A38" s="4050" t="s">
        <v>3415</v>
      </c>
      <c r="B38" s="4050"/>
      <c r="C38" s="4050"/>
      <c r="D38" s="4051" t="s">
        <v>2981</v>
      </c>
      <c r="E38" s="4051"/>
      <c r="F38" s="4051" t="s">
        <v>2982</v>
      </c>
      <c r="G38" s="4051"/>
      <c r="H38" s="4051"/>
      <c r="I38" s="1239" t="s">
        <v>2732</v>
      </c>
      <c r="K38" s="4052">
        <f>ROUND((D39/F39)*I39,0)</f>
        <v>3</v>
      </c>
    </row>
    <row r="39" spans="1:11" s="538" customFormat="1" ht="15.75" customHeight="1" thickBot="1">
      <c r="A39" s="4050"/>
      <c r="B39" s="4050"/>
      <c r="C39" s="4050"/>
      <c r="D39" s="4054">
        <f>K36</f>
        <v>600000</v>
      </c>
      <c r="E39" s="4054"/>
      <c r="F39" s="4055">
        <f>K28</f>
        <v>11820231</v>
      </c>
      <c r="G39" s="4055"/>
      <c r="H39" s="4055"/>
      <c r="I39" s="769">
        <f>K19</f>
        <v>60</v>
      </c>
      <c r="K39" s="4053"/>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59" t="str">
        <f>CONCATENATE('Sensitivity Analysis'!E8,"  ",'Sensitivity Analysis'!C8)</f>
        <v>2020-091  The Pointe at St. Martin</v>
      </c>
      <c r="B1" s="4059"/>
      <c r="C1" s="4059"/>
      <c r="D1" s="4059"/>
      <c r="E1" s="4059"/>
      <c r="F1" s="4059"/>
      <c r="G1" s="4059"/>
      <c r="H1" s="4059"/>
    </row>
    <row r="3" spans="1:13" ht="12" customHeight="1">
      <c r="A3" s="4060" t="s">
        <v>3383</v>
      </c>
      <c r="B3" s="4060"/>
      <c r="C3" s="4060"/>
      <c r="D3" s="4060"/>
      <c r="E3" s="4060"/>
      <c r="F3" s="4060"/>
      <c r="G3" s="4060"/>
      <c r="H3" s="4060"/>
      <c r="I3" s="1243"/>
      <c r="J3" s="4062" t="s">
        <v>3892</v>
      </c>
      <c r="K3" s="4062"/>
      <c r="L3" s="803"/>
      <c r="M3" s="803"/>
    </row>
    <row r="4" spans="1:13">
      <c r="J4" s="4062"/>
      <c r="K4" s="4062"/>
    </row>
    <row r="5" spans="1:13" ht="12" customHeight="1">
      <c r="A5" s="730">
        <v>1</v>
      </c>
      <c r="C5" s="730" t="s">
        <v>2988</v>
      </c>
      <c r="E5" s="785" t="str">
        <f>'Sensitivity Analysis'!H9</f>
        <v>The Pointe at St. Martin</v>
      </c>
      <c r="J5" s="4062"/>
      <c r="K5" s="4062"/>
    </row>
    <row r="6" spans="1:13" ht="3" customHeight="1">
      <c r="H6" s="747"/>
      <c r="J6" s="4062"/>
      <c r="K6" s="4062"/>
    </row>
    <row r="7" spans="1:13" ht="12" customHeight="1">
      <c r="A7" s="730">
        <v>2</v>
      </c>
      <c r="C7" s="730" t="s">
        <v>2989</v>
      </c>
      <c r="E7" s="785" t="str">
        <f>'Part II-Development Team'!H6</f>
        <v>100 Towncenter Blvd. Suite 300</v>
      </c>
      <c r="J7" s="4062"/>
      <c r="K7" s="4062"/>
    </row>
    <row r="8" spans="1:13" ht="12" customHeight="1">
      <c r="E8" s="785" t="str">
        <f>+'Part II-Development Team'!H7&amp;","&amp;" "&amp;'Part II-Development Team'!H8&amp;" "&amp;LEFT('Part II-Development Team'!J8,5)</f>
        <v>Tuscaloosa, AL 35406</v>
      </c>
      <c r="J8" s="4062"/>
      <c r="K8" s="4062"/>
    </row>
    <row r="9" spans="1:13" ht="12" customHeight="1">
      <c r="C9" s="730" t="s">
        <v>2990</v>
      </c>
      <c r="E9" s="4061" t="str">
        <f>'Part II-Development Team'!L7</f>
        <v>To Be Applied For</v>
      </c>
      <c r="F9" s="4061"/>
      <c r="J9" s="4062"/>
      <c r="K9" s="4062"/>
    </row>
    <row r="10" spans="1:13" ht="12" customHeight="1">
      <c r="C10" s="730" t="s">
        <v>2991</v>
      </c>
      <c r="E10" s="785" t="str">
        <f>'Part II-Development Team'!Q5</f>
        <v>Mark E. English</v>
      </c>
    </row>
    <row r="11" spans="1:13" ht="12" customHeight="1">
      <c r="C11" s="730" t="s">
        <v>3897</v>
      </c>
      <c r="E11" s="785" t="str">
        <f>'Part II-Development Team'!L9</f>
        <v>mark@nahpa.org</v>
      </c>
    </row>
    <row r="12" spans="1:13" ht="12" customHeight="1">
      <c r="C12" s="730" t="s">
        <v>3893</v>
      </c>
      <c r="E12" s="1244">
        <f>'Part II-Development Team'!H9</f>
        <v>2057229331</v>
      </c>
    </row>
    <row r="13" spans="1:13" ht="12" customHeight="1">
      <c r="C13" s="730" t="s">
        <v>3896</v>
      </c>
      <c r="E13" s="1244">
        <f>'Part II-Development Team'!Q7</f>
        <v>2057229331</v>
      </c>
    </row>
    <row r="14" spans="1:13" ht="3" customHeight="1"/>
    <row r="15" spans="1:13" ht="12" customHeight="1">
      <c r="A15" s="730">
        <v>3</v>
      </c>
      <c r="C15" s="730" t="s">
        <v>2992</v>
      </c>
      <c r="E15" s="785" t="str">
        <f>'Sensitivity Analysis'!C8</f>
        <v>The Pointe at St. Martin</v>
      </c>
    </row>
    <row r="16" spans="1:13" ht="12" customHeight="1">
      <c r="C16" s="730" t="s">
        <v>2993</v>
      </c>
      <c r="E16" s="785" t="str">
        <f>'Part I-Project Information'!$F$35</f>
        <v>310 Ridge Road</v>
      </c>
    </row>
    <row r="17" spans="1:8" ht="12" customHeight="1">
      <c r="E17" s="785" t="str">
        <f>+'Part I-Project Information'!$F$38&amp;","&amp;" GA "&amp;LEFT('Part I-Project Information'!$J$38,5)</f>
        <v>Hartwell, GA 30643</v>
      </c>
    </row>
    <row r="18" spans="1:8" ht="3" customHeight="1"/>
    <row r="19" spans="1:8" ht="12" customHeight="1">
      <c r="A19" s="730">
        <v>4</v>
      </c>
      <c r="C19" s="730" t="s">
        <v>2994</v>
      </c>
      <c r="E19" s="785" t="str">
        <f>'Part II-Development Team'!H92</f>
        <v>Vantage Management, LLC</v>
      </c>
    </row>
    <row r="20" spans="1:8" ht="12" customHeight="1">
      <c r="C20" s="730" t="s">
        <v>2995</v>
      </c>
      <c r="E20" s="785" t="str">
        <f>'Part II-Development Team'!H93</f>
        <v>1544 S. Main Street</v>
      </c>
    </row>
    <row r="21" spans="1:8" ht="12" customHeight="1">
      <c r="E21" s="785" t="str">
        <f>+'Part II-Development Team'!H94&amp;","&amp;" "&amp;'Part II-Development Team'!H95&amp;" "&amp;LEFT('Part II-Development Team'!L95,5)</f>
        <v>Fyffe, AL 35971</v>
      </c>
    </row>
    <row r="22" spans="1:8" ht="12" customHeight="1">
      <c r="C22" s="730" t="s">
        <v>3893</v>
      </c>
      <c r="E22" s="1244">
        <f>'Part II-Development Team'!H96</f>
        <v>2564174921</v>
      </c>
    </row>
    <row r="23" spans="1:8" ht="12" customHeight="1">
      <c r="C23" s="730" t="s">
        <v>3896</v>
      </c>
      <c r="E23" s="1244">
        <f>'Part II-Development Team'!Q94</f>
        <v>2569976659</v>
      </c>
    </row>
    <row r="24" spans="1:8" ht="12" customHeight="1">
      <c r="C24" s="730" t="s">
        <v>3897</v>
      </c>
      <c r="E24" s="1244" t="str">
        <f>'Part II-Development Team'!L96</f>
        <v>lbarron@thevantagegroup.biz</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2997</v>
      </c>
      <c r="E30" s="730" t="s">
        <v>2347</v>
      </c>
      <c r="F30" s="1245">
        <f>'Part III-Sources of Funds'!L20</f>
        <v>7794967</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2347</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2347</v>
      </c>
      <c r="F39" s="775">
        <f>'Part III-Sources of Funds'!L38*12</f>
        <v>120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NAHPA 2018 GA, Inc.</v>
      </c>
    </row>
    <row r="48" spans="1:7" ht="3" customHeight="1">
      <c r="E48" s="785"/>
    </row>
    <row r="49" spans="1:7" ht="12" customHeight="1">
      <c r="A49" s="730">
        <v>15</v>
      </c>
      <c r="C49" s="730" t="s">
        <v>3899</v>
      </c>
      <c r="E49" s="785" t="str">
        <f>'Part II-Development Team'!Q98</f>
        <v>Lee Johnsey</v>
      </c>
      <c r="G49" s="785" t="str">
        <f>'Part II-Development Team'!H98</f>
        <v>Balch &amp; Bingham, LLP</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60</v>
      </c>
    </row>
    <row r="53" spans="1:7" ht="3" customHeight="1">
      <c r="F53" s="775"/>
    </row>
    <row r="54" spans="1:7" ht="12" customHeight="1">
      <c r="A54" s="803">
        <v>17</v>
      </c>
      <c r="B54" s="803"/>
      <c r="C54" s="803" t="s">
        <v>3014</v>
      </c>
      <c r="D54" s="803"/>
      <c r="E54" s="803"/>
      <c r="F54" s="1251">
        <f>'HOME Allocation Limit WS'!K18</f>
        <v>60</v>
      </c>
      <c r="G54" s="803"/>
    </row>
    <row r="55" spans="1:7" ht="3" customHeight="1">
      <c r="F55" s="775"/>
    </row>
    <row r="56" spans="1:7" ht="12" customHeight="1">
      <c r="A56" s="730">
        <v>18</v>
      </c>
      <c r="C56" s="730" t="s">
        <v>3015</v>
      </c>
      <c r="F56" s="1251">
        <f>'Part VI-Revenues &amp; Expenses'!P66</f>
        <v>0</v>
      </c>
      <c r="G56" s="730" t="s">
        <v>3898</v>
      </c>
    </row>
    <row r="57" spans="1:7" ht="3" customHeight="1">
      <c r="F57" s="775"/>
    </row>
    <row r="58" spans="1:7" ht="12" customHeight="1">
      <c r="A58" s="730">
        <v>19</v>
      </c>
      <c r="C58" s="730" t="s">
        <v>3016</v>
      </c>
      <c r="F58" s="1252"/>
      <c r="G58" s="730" t="s">
        <v>3384</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3399</v>
      </c>
      <c r="E62" s="1254" t="s">
        <v>3385</v>
      </c>
      <c r="F62" s="1255" t="s">
        <v>3386</v>
      </c>
      <c r="G62" s="1254" t="s">
        <v>3018</v>
      </c>
    </row>
    <row r="63" spans="1:7" ht="12" customHeight="1">
      <c r="E63" s="1254" t="s">
        <v>3385</v>
      </c>
      <c r="F63" s="1255" t="s">
        <v>3386</v>
      </c>
      <c r="G63" s="1254"/>
    </row>
    <row r="64" spans="1:7" ht="3" customHeight="1"/>
    <row r="65" spans="1:7" ht="12" customHeight="1">
      <c r="A65" s="730">
        <v>22</v>
      </c>
      <c r="C65" s="730" t="s">
        <v>3019</v>
      </c>
      <c r="E65" s="785" t="str">
        <f>'Sensitivity Analysis'!H9</f>
        <v>The Pointe at St. Martin</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56">
        <f>'Part IV-A-Uses of Funds'!$G$122</f>
        <v>153844</v>
      </c>
    </row>
    <row r="72" spans="1:7" ht="3" customHeight="1">
      <c r="F72" s="1256"/>
    </row>
    <row r="73" spans="1:7" ht="12" customHeight="1">
      <c r="A73" s="730">
        <v>26</v>
      </c>
      <c r="C73" s="730" t="s">
        <v>3024</v>
      </c>
      <c r="F73" s="1256">
        <f>'Part IV-A-Uses of Funds'!$G$123</f>
        <v>0</v>
      </c>
    </row>
    <row r="74" spans="1:7" ht="3" customHeight="1">
      <c r="F74" s="1256"/>
    </row>
    <row r="75" spans="1:7" ht="12" customHeight="1">
      <c r="A75" s="730">
        <v>27</v>
      </c>
      <c r="C75" s="730" t="s">
        <v>3025</v>
      </c>
      <c r="F75" s="1257">
        <f>'Part IV-A-Uses of Funds'!$G$121</f>
        <v>61036</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63" t="s">
        <v>3214</v>
      </c>
      <c r="B1" s="4063"/>
      <c r="C1" s="4063"/>
      <c r="D1" s="4063"/>
      <c r="E1" s="4063"/>
      <c r="F1" s="4063"/>
      <c r="G1" s="4063"/>
      <c r="H1" s="4063"/>
      <c r="I1" s="4063"/>
      <c r="J1" s="4063"/>
    </row>
    <row r="2" spans="1:13" ht="13.8">
      <c r="A2" s="4063" t="str">
        <f>'Sensitivity Analysis'!E8&amp;"  "&amp;'Sensitivity Analysis'!C8</f>
        <v>2020-091  The Pointe at St. Martin</v>
      </c>
      <c r="B2" s="4063"/>
      <c r="C2" s="4063"/>
      <c r="D2" s="4063"/>
      <c r="E2" s="4063"/>
      <c r="F2" s="4063"/>
      <c r="G2" s="4063"/>
      <c r="H2" s="4063"/>
      <c r="I2" s="4063"/>
      <c r="J2" s="4063"/>
    </row>
    <row r="3" spans="1:13" ht="6" customHeight="1">
      <c r="K3" s="4062" t="s">
        <v>3892</v>
      </c>
      <c r="L3" s="4062"/>
      <c r="M3" s="4062"/>
    </row>
    <row r="4" spans="1:13" ht="12" customHeight="1">
      <c r="A4" s="771" t="s">
        <v>3027</v>
      </c>
      <c r="K4" s="4062"/>
      <c r="L4" s="4062"/>
      <c r="M4" s="4062"/>
    </row>
    <row r="5" spans="1:13" ht="12" customHeight="1">
      <c r="A5" s="730" t="s">
        <v>3028</v>
      </c>
      <c r="C5" s="772" t="str">
        <f>'Subsidy Layering Memo'!D6</f>
        <v>(Underwriter)</v>
      </c>
      <c r="I5" s="772"/>
      <c r="K5" s="4062"/>
      <c r="L5" s="4062"/>
      <c r="M5" s="4062"/>
    </row>
    <row r="6" spans="1:13" ht="6" customHeight="1">
      <c r="C6" s="667"/>
      <c r="D6" s="772"/>
      <c r="I6" s="772"/>
      <c r="K6" s="4062"/>
      <c r="L6" s="4062"/>
      <c r="M6" s="4062"/>
    </row>
    <row r="7" spans="1:13" ht="12" customHeight="1">
      <c r="A7" s="771" t="s">
        <v>3029</v>
      </c>
      <c r="C7" s="667"/>
      <c r="D7" s="772"/>
      <c r="I7" s="772"/>
      <c r="K7" s="4062"/>
      <c r="L7" s="4062"/>
      <c r="M7" s="4062"/>
    </row>
    <row r="8" spans="1:13" ht="12" customHeight="1">
      <c r="A8" s="730" t="s">
        <v>3030</v>
      </c>
      <c r="C8" s="772" t="str">
        <f>'Sensitivity Analysis'!$H$9</f>
        <v>The Pointe at St. Martin</v>
      </c>
      <c r="I8" s="772"/>
      <c r="K8" s="4062"/>
      <c r="L8" s="4062"/>
      <c r="M8" s="4062"/>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2603</v>
      </c>
      <c r="D12" s="793" t="s">
        <v>1727</v>
      </c>
      <c r="I12" s="772"/>
    </row>
    <row r="13" spans="1:13" ht="12" customHeight="1">
      <c r="C13" s="772" t="s">
        <v>3032</v>
      </c>
      <c r="D13" s="4066"/>
      <c r="E13" s="4066"/>
      <c r="F13" s="4066"/>
      <c r="G13" s="4066"/>
      <c r="H13" s="4066"/>
      <c r="I13" s="4066"/>
      <c r="J13" s="4066"/>
    </row>
    <row r="14" spans="1:13" ht="3" customHeight="1">
      <c r="G14" s="667"/>
      <c r="H14" s="772"/>
      <c r="I14" s="772"/>
    </row>
    <row r="15" spans="1:13" ht="12" customHeight="1">
      <c r="A15" s="730" t="s">
        <v>3033</v>
      </c>
      <c r="C15" s="774" t="str">
        <f>'Preview term'!E10</f>
        <v>Mark E. English</v>
      </c>
      <c r="G15" s="667"/>
      <c r="I15" s="772"/>
    </row>
    <row r="16" spans="1:13" ht="12" customHeight="1">
      <c r="A16" s="785" t="s">
        <v>4105</v>
      </c>
      <c r="C16" s="774" t="str">
        <f>'Part II-Development Team'!Q6</f>
        <v>President of GP</v>
      </c>
      <c r="G16" s="667"/>
      <c r="I16" s="772"/>
    </row>
    <row r="17" spans="1:9" ht="3" customHeight="1">
      <c r="G17" s="667"/>
      <c r="H17" s="772"/>
      <c r="I17" s="772"/>
    </row>
    <row r="18" spans="1:9" ht="12" customHeight="1">
      <c r="A18" s="730" t="s">
        <v>3034</v>
      </c>
      <c r="C18" s="774" t="str">
        <f>'Preview term'!$E$7</f>
        <v>100 Towncenter Blvd. Suite 300</v>
      </c>
      <c r="G18" s="667"/>
      <c r="I18" s="772"/>
    </row>
    <row r="19" spans="1:9" ht="12" customHeight="1">
      <c r="C19" s="774" t="str">
        <f>'Preview term'!$E$8</f>
        <v>Tuscaloosa, AL 35406</v>
      </c>
      <c r="G19" s="667"/>
      <c r="I19" s="772"/>
    </row>
    <row r="20" spans="1:9" ht="3" customHeight="1">
      <c r="G20" s="667"/>
      <c r="H20" s="772"/>
      <c r="I20" s="772"/>
    </row>
    <row r="21" spans="1:9" ht="12" customHeight="1">
      <c r="A21" s="730" t="s">
        <v>3035</v>
      </c>
      <c r="C21" s="774" t="str">
        <f>CONCATENATE('Preview term'!E49," of  ",'Preview term'!G49)</f>
        <v>Lee Johnsey of  Balch &amp; Bingham, LLP</v>
      </c>
      <c r="G21" s="667"/>
      <c r="I21" s="772"/>
    </row>
    <row r="22" spans="1:9" ht="3" customHeight="1">
      <c r="C22" s="774"/>
      <c r="G22" s="667"/>
      <c r="I22" s="772"/>
    </row>
    <row r="23" spans="1:9" ht="12" customHeight="1">
      <c r="A23" s="730" t="s">
        <v>3036</v>
      </c>
      <c r="C23" s="774">
        <f>'Preview term'!E12</f>
        <v>2057229331</v>
      </c>
      <c r="G23" s="667"/>
      <c r="I23" s="772"/>
    </row>
    <row r="24" spans="1:9" ht="3" customHeight="1">
      <c r="C24" s="774"/>
      <c r="G24" s="667"/>
      <c r="I24" s="772"/>
    </row>
    <row r="25" spans="1:9" ht="12" customHeight="1">
      <c r="A25" s="730" t="s">
        <v>3037</v>
      </c>
      <c r="C25" s="1198" t="str">
        <f>'Preview term'!E11</f>
        <v>mark@nahpa.org</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The Pointe at St. Martin</v>
      </c>
      <c r="I28" s="772"/>
    </row>
    <row r="29" spans="1:9" ht="3" customHeight="1">
      <c r="C29" s="774"/>
      <c r="I29" s="772"/>
    </row>
    <row r="30" spans="1:9" ht="12" customHeight="1">
      <c r="A30" s="730" t="s">
        <v>3040</v>
      </c>
      <c r="C30" s="774" t="str">
        <f>'Preview term'!E16</f>
        <v>310 Ridge Road</v>
      </c>
      <c r="I30" s="772"/>
    </row>
    <row r="31" spans="1:9">
      <c r="C31" s="772" t="str">
        <f>'Preview term'!E17</f>
        <v>Hartwell, GA 30643</v>
      </c>
      <c r="I31" s="772"/>
    </row>
    <row r="32" spans="1:9" ht="3" customHeight="1">
      <c r="C32" s="667"/>
      <c r="D32" s="667"/>
      <c r="I32" s="667"/>
    </row>
    <row r="33" spans="1:10" ht="12" customHeight="1">
      <c r="A33" s="730" t="s">
        <v>3041</v>
      </c>
      <c r="C33" s="667" t="s">
        <v>3042</v>
      </c>
      <c r="D33" s="1197">
        <f>'Preview term'!F54</f>
        <v>60</v>
      </c>
      <c r="I33" s="667"/>
    </row>
    <row r="34" spans="1:10" ht="12" customHeight="1">
      <c r="C34" s="667" t="s">
        <v>3043</v>
      </c>
      <c r="D34" s="776">
        <f>'HOME Allocation Limit WS'!H12-'HOME Allocation Limit WS'!D12</f>
        <v>0</v>
      </c>
      <c r="I34" s="667"/>
    </row>
    <row r="35" spans="1:10" ht="12" customHeight="1">
      <c r="C35" s="667" t="s">
        <v>3044</v>
      </c>
      <c r="D35" s="777">
        <f>SUM(D33:D34)</f>
        <v>60</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4064"/>
      <c r="D39" s="4064"/>
      <c r="E39" s="4064"/>
      <c r="F39" s="4064"/>
      <c r="G39" s="4064"/>
      <c r="H39" s="4064"/>
      <c r="I39" s="4064"/>
      <c r="J39" s="4064"/>
    </row>
    <row r="40" spans="1:10" ht="3" customHeight="1">
      <c r="G40" s="667"/>
      <c r="H40" s="667"/>
      <c r="I40" s="667"/>
    </row>
    <row r="41" spans="1:10" ht="25.5" customHeight="1">
      <c r="A41" s="779" t="s">
        <v>3048</v>
      </c>
      <c r="C41" s="4065" t="s">
        <v>3387</v>
      </c>
      <c r="D41" s="4065"/>
      <c r="E41" s="4065"/>
      <c r="F41" s="4065"/>
      <c r="G41" s="4065"/>
      <c r="H41" s="4065"/>
      <c r="I41" s="4065"/>
      <c r="J41" s="4065"/>
    </row>
    <row r="42" spans="1:10" ht="3" customHeight="1">
      <c r="C42" s="536"/>
      <c r="D42" s="536"/>
      <c r="E42" s="536"/>
      <c r="F42" s="536"/>
      <c r="G42" s="536"/>
      <c r="H42" s="537"/>
      <c r="I42" s="538"/>
      <c r="J42" s="537"/>
    </row>
    <row r="43" spans="1:10" ht="12" customHeight="1">
      <c r="A43" s="730" t="s">
        <v>3049</v>
      </c>
      <c r="C43" s="604" t="str">
        <f>'Part I-Project Information'!J39</f>
        <v>Hart</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4065" t="s">
        <v>558</v>
      </c>
      <c r="D49" s="4065"/>
      <c r="E49" s="4065"/>
      <c r="F49" s="4065"/>
      <c r="G49" s="4065"/>
      <c r="H49" s="4065"/>
      <c r="I49" s="4065"/>
      <c r="J49" s="4065"/>
    </row>
    <row r="50" spans="1:10" ht="12" customHeight="1">
      <c r="C50" s="4070" t="s">
        <v>1762</v>
      </c>
      <c r="D50" s="4070"/>
      <c r="E50" s="4070"/>
      <c r="F50" s="4070"/>
      <c r="G50" s="4070"/>
      <c r="H50" s="4070"/>
      <c r="I50" s="4070"/>
      <c r="J50" s="4070"/>
    </row>
    <row r="51" spans="1:10" ht="3" customHeight="1">
      <c r="D51" s="782"/>
      <c r="E51" s="782"/>
      <c r="F51" s="782"/>
      <c r="G51" s="783"/>
      <c r="H51" s="667"/>
      <c r="I51" s="782"/>
      <c r="J51" s="782"/>
    </row>
    <row r="52" spans="1:10" ht="12" customHeight="1">
      <c r="A52" s="779" t="s">
        <v>3053</v>
      </c>
      <c r="B52" s="779"/>
      <c r="C52" s="784" t="s">
        <v>3054</v>
      </c>
      <c r="D52" s="784" t="s">
        <v>3388</v>
      </c>
      <c r="E52" s="4071"/>
      <c r="F52" s="4071"/>
      <c r="G52" s="4071"/>
      <c r="H52" s="4071"/>
      <c r="I52" s="4071"/>
      <c r="J52" s="4071"/>
    </row>
    <row r="53" spans="1:10" ht="12" customHeight="1">
      <c r="A53" s="779"/>
      <c r="B53" s="779"/>
      <c r="C53" s="779"/>
      <c r="D53" s="784" t="s">
        <v>3389</v>
      </c>
      <c r="E53" s="4072"/>
      <c r="F53" s="4072"/>
      <c r="G53" s="4072"/>
      <c r="H53" s="4072"/>
      <c r="I53" s="4072"/>
      <c r="J53" s="4072"/>
    </row>
    <row r="54" spans="1:10" ht="12" customHeight="1">
      <c r="A54" s="771" t="s">
        <v>3055</v>
      </c>
      <c r="G54" s="667"/>
      <c r="H54" s="667"/>
      <c r="I54" s="667"/>
    </row>
    <row r="55" spans="1:10" ht="18" customHeight="1">
      <c r="A55" s="730" t="s">
        <v>3056</v>
      </c>
      <c r="C55" s="773" t="str">
        <f>'Sensitivity Analysis'!C10</f>
        <v>NAHPA 2018 GA, Inc.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7794967</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4066"/>
      <c r="E68" s="4066"/>
      <c r="F68" s="4066"/>
      <c r="G68" s="4066"/>
      <c r="H68" s="4066"/>
      <c r="I68" s="4066"/>
      <c r="J68" s="4066"/>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3430</v>
      </c>
      <c r="D77" s="790">
        <v>24</v>
      </c>
      <c r="I77" s="667"/>
    </row>
    <row r="78" spans="1:10" ht="3" customHeight="1">
      <c r="D78" s="785"/>
      <c r="E78" s="667"/>
      <c r="F78" s="667"/>
      <c r="I78" s="667"/>
    </row>
    <row r="79" spans="1:10" ht="12" customHeight="1">
      <c r="A79" s="730" t="s">
        <v>3072</v>
      </c>
      <c r="C79" s="730" t="s">
        <v>2347</v>
      </c>
      <c r="D79" s="791">
        <f>'Preview term'!F39</f>
        <v>120</v>
      </c>
      <c r="E79" s="667" t="s">
        <v>3392</v>
      </c>
      <c r="I79" s="667"/>
    </row>
    <row r="80" spans="1:10" ht="3" customHeight="1">
      <c r="D80" s="785"/>
      <c r="G80" s="667"/>
      <c r="H80" s="667"/>
      <c r="I80" s="667"/>
    </row>
    <row r="81" spans="1:9" ht="12" customHeight="1">
      <c r="A81" s="730" t="s">
        <v>3073</v>
      </c>
      <c r="D81" s="1201">
        <v>0</v>
      </c>
      <c r="E81" s="792">
        <f>D81*12</f>
        <v>0</v>
      </c>
      <c r="F81" s="667" t="s">
        <v>3431</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-4.7912431454385439E-8</v>
      </c>
      <c r="D85" s="794" t="s">
        <v>3390</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TBD - United Bank</v>
      </c>
      <c r="I92" s="667"/>
    </row>
    <row r="93" spans="1:9" ht="12" customHeight="1">
      <c r="C93" s="799"/>
      <c r="D93" s="667"/>
      <c r="E93" s="785" t="s">
        <v>1753</v>
      </c>
      <c r="F93" s="4073"/>
      <c r="G93" s="4073"/>
      <c r="H93" s="4073"/>
      <c r="I93" s="667"/>
    </row>
    <row r="94" spans="1:9" ht="12" customHeight="1">
      <c r="C94" s="785"/>
      <c r="D94" s="667"/>
      <c r="E94" s="785" t="s">
        <v>1935</v>
      </c>
      <c r="F94" s="4074"/>
      <c r="G94" s="4074"/>
      <c r="H94" s="4074"/>
      <c r="I94" s="667"/>
    </row>
    <row r="95" spans="1:9" ht="12" customHeight="1">
      <c r="C95" s="785"/>
      <c r="D95" s="667"/>
      <c r="E95" s="785" t="s">
        <v>1755</v>
      </c>
      <c r="F95" s="4069"/>
      <c r="G95" s="4069"/>
      <c r="H95" s="4069"/>
      <c r="I95" s="667"/>
    </row>
    <row r="96" spans="1:9" ht="12" customHeight="1">
      <c r="B96" s="775"/>
      <c r="C96" s="788" t="s">
        <v>3226</v>
      </c>
      <c r="D96" s="667" t="s">
        <v>3082</v>
      </c>
      <c r="E96" s="785" t="str">
        <f>'Part III-Sources of Funds'!E38</f>
        <v>United Bank</v>
      </c>
      <c r="I96" s="667"/>
    </row>
    <row r="97" spans="1:10" ht="12" customHeight="1">
      <c r="C97" s="785"/>
      <c r="D97" s="667"/>
      <c r="E97" s="785" t="s">
        <v>1753</v>
      </c>
      <c r="F97" s="4073"/>
      <c r="G97" s="4073"/>
      <c r="H97" s="4073"/>
      <c r="I97" s="667"/>
    </row>
    <row r="98" spans="1:10" ht="12" customHeight="1">
      <c r="C98" s="785"/>
      <c r="D98" s="667"/>
      <c r="E98" s="785" t="s">
        <v>1935</v>
      </c>
      <c r="F98" s="4074"/>
      <c r="G98" s="4074"/>
      <c r="H98" s="4074"/>
      <c r="I98" s="667"/>
    </row>
    <row r="99" spans="1:10" ht="12" customHeight="1">
      <c r="C99" s="785"/>
      <c r="D99" s="667"/>
      <c r="E99" s="785" t="s">
        <v>1755</v>
      </c>
      <c r="F99" s="4069"/>
      <c r="G99" s="4069"/>
      <c r="H99" s="4069"/>
      <c r="I99" s="667"/>
    </row>
    <row r="100" spans="1:10" ht="3" customHeight="1">
      <c r="D100" s="796"/>
      <c r="G100" s="667"/>
      <c r="H100" s="667"/>
      <c r="I100" s="667"/>
    </row>
    <row r="101" spans="1:10" ht="12" customHeight="1">
      <c r="A101" s="730" t="s">
        <v>3083</v>
      </c>
      <c r="D101" s="1241" t="str">
        <f>'Part IX Scoring Criteria'!O337</f>
        <v>N/a</v>
      </c>
      <c r="E101" s="667" t="s">
        <v>3063</v>
      </c>
      <c r="G101" s="730">
        <f>'Part IX Scoring Criteria'!O333</f>
        <v>4</v>
      </c>
      <c r="H101" s="730" t="s">
        <v>3391</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4076"/>
      <c r="E106" s="4076"/>
      <c r="F106" s="4076"/>
      <c r="G106" s="4076"/>
      <c r="H106" s="4076"/>
      <c r="I106" s="4076"/>
      <c r="J106" s="4077"/>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4079" t="s">
        <v>3902</v>
      </c>
      <c r="F119" s="4079"/>
      <c r="G119" s="4079"/>
      <c r="H119" s="4079"/>
      <c r="I119" s="4079"/>
      <c r="J119" s="4079"/>
    </row>
    <row r="120" spans="1:10" ht="12" customHeight="1">
      <c r="C120" s="667" t="s">
        <v>3093</v>
      </c>
      <c r="D120" s="1206"/>
      <c r="E120" s="4079"/>
      <c r="F120" s="4079"/>
      <c r="G120" s="4079"/>
      <c r="H120" s="4079"/>
      <c r="I120" s="4079"/>
      <c r="J120" s="4079"/>
    </row>
    <row r="121" spans="1:10" ht="12" customHeight="1">
      <c r="C121" s="667" t="s">
        <v>3094</v>
      </c>
      <c r="D121" s="1206"/>
      <c r="E121" s="4079"/>
      <c r="F121" s="4079"/>
      <c r="G121" s="4079"/>
      <c r="H121" s="4079"/>
      <c r="I121" s="4079"/>
      <c r="J121" s="4079"/>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Vantage Development, LLC</v>
      </c>
      <c r="D130" s="773" t="str">
        <f>'Sensitivity Analysis'!K11</f>
        <v>NAHPA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725000</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Vantage Management, LLC</v>
      </c>
      <c r="G137" s="667"/>
      <c r="I137" s="667"/>
      <c r="J137" s="802"/>
    </row>
    <row r="138" spans="1:10" ht="3" customHeight="1">
      <c r="C138" s="773"/>
      <c r="G138" s="667"/>
      <c r="I138" s="667"/>
    </row>
    <row r="139" spans="1:10" ht="12" customHeight="1">
      <c r="A139" s="730" t="s">
        <v>3105</v>
      </c>
      <c r="C139" s="774" t="str">
        <f>C8</f>
        <v>The Pointe at St. Martin</v>
      </c>
      <c r="G139" s="667"/>
      <c r="I139" s="772"/>
      <c r="J139" s="803"/>
    </row>
    <row r="140" spans="1:10" ht="3" customHeight="1">
      <c r="C140" s="774"/>
      <c r="G140" s="667"/>
      <c r="I140" s="772"/>
      <c r="J140" s="803"/>
    </row>
    <row r="141" spans="1:10" ht="12" customHeight="1">
      <c r="A141" s="730" t="s">
        <v>3106</v>
      </c>
      <c r="C141" s="774" t="str">
        <f>C18</f>
        <v>100 Towncenter Blvd. Suite 300</v>
      </c>
      <c r="G141" s="667"/>
      <c r="I141" s="772"/>
      <c r="J141" s="803"/>
    </row>
    <row r="142" spans="1:10">
      <c r="C142" s="774" t="str">
        <f>C19</f>
        <v>Tuscaloosa, AL 35406</v>
      </c>
      <c r="G142" s="667"/>
      <c r="I142" s="772"/>
      <c r="J142" s="803"/>
    </row>
    <row r="143" spans="1:10" ht="3" customHeight="1">
      <c r="C143" s="804"/>
      <c r="G143" s="667"/>
      <c r="I143" s="772"/>
      <c r="J143" s="803"/>
    </row>
    <row r="144" spans="1:10" ht="12" customHeight="1">
      <c r="A144" s="730" t="s">
        <v>3107</v>
      </c>
      <c r="C144" s="774" t="str">
        <f>'Sensitivity Analysis'!H10</f>
        <v>To Be Determined - 42 Equity Partners, LLC</v>
      </c>
      <c r="G144" s="667"/>
      <c r="I144" s="772"/>
      <c r="J144" s="802"/>
    </row>
    <row r="145" spans="1:10" ht="3" customHeight="1">
      <c r="C145" s="774"/>
      <c r="G145" s="667"/>
      <c r="I145" s="772"/>
      <c r="J145" s="803"/>
    </row>
    <row r="146" spans="1:10" ht="12" customHeight="1">
      <c r="A146" s="730" t="s">
        <v>3108</v>
      </c>
      <c r="C146" s="774" t="str">
        <f>'Sensitivity Analysis'!K10</f>
        <v>To Be Determined - Monarch Private Capital,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3393</v>
      </c>
      <c r="D154" s="667"/>
      <c r="G154" s="667"/>
      <c r="H154" s="667"/>
      <c r="I154" s="667"/>
    </row>
    <row r="155" spans="1:10" ht="3" customHeight="1">
      <c r="D155" s="667"/>
      <c r="E155" s="667"/>
      <c r="G155" s="667"/>
    </row>
    <row r="156" spans="1:10" ht="12" customHeight="1">
      <c r="A156" s="730" t="s">
        <v>3113</v>
      </c>
      <c r="D156" s="1241">
        <v>20</v>
      </c>
      <c r="E156" s="667" t="s">
        <v>2347</v>
      </c>
    </row>
    <row r="157" spans="1:10" ht="3" customHeight="1">
      <c r="D157" s="667"/>
      <c r="E157" s="667"/>
      <c r="G157" s="667"/>
    </row>
    <row r="158" spans="1:10" ht="12" customHeight="1">
      <c r="A158" s="730" t="s">
        <v>3114</v>
      </c>
      <c r="C158" s="1200" t="s">
        <v>1727</v>
      </c>
      <c r="D158" s="667" t="s">
        <v>3432</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3394</v>
      </c>
      <c r="E164" s="4066"/>
      <c r="F164" s="4066"/>
      <c r="G164" s="4066"/>
      <c r="I164" s="667"/>
    </row>
    <row r="165" spans="1:13" ht="3" customHeight="1">
      <c r="E165" s="667"/>
      <c r="G165" s="667"/>
      <c r="I165" s="667"/>
    </row>
    <row r="166" spans="1:13" ht="12" customHeight="1">
      <c r="A166" s="730" t="s">
        <v>3117</v>
      </c>
      <c r="C166" s="730" t="s">
        <v>3118</v>
      </c>
      <c r="E166" s="806">
        <f>'Preview term'!F71</f>
        <v>153844</v>
      </c>
      <c r="G166" s="667"/>
      <c r="I166" s="667"/>
    </row>
    <row r="167" spans="1:13" ht="12" customHeight="1">
      <c r="C167" s="730" t="s">
        <v>3394</v>
      </c>
      <c r="E167" s="4066"/>
      <c r="F167" s="4066"/>
      <c r="G167" s="4066"/>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15000</v>
      </c>
      <c r="F172" s="772" t="s">
        <v>3122</v>
      </c>
      <c r="J172" s="803"/>
      <c r="K172" s="803"/>
      <c r="L172" s="803"/>
      <c r="M172" s="803"/>
    </row>
    <row r="173" spans="1:13">
      <c r="E173" s="806">
        <f>E172/12</f>
        <v>1250</v>
      </c>
      <c r="F173" s="667" t="s">
        <v>2974</v>
      </c>
    </row>
    <row r="174" spans="1:13" ht="12" customHeight="1">
      <c r="C174" s="730" t="s">
        <v>3395</v>
      </c>
      <c r="E174" s="4066"/>
      <c r="F174" s="4066"/>
      <c r="G174" s="4066"/>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4066"/>
      <c r="G179" s="4066"/>
      <c r="H179" s="4066"/>
      <c r="I179" s="4066"/>
      <c r="J179" s="4066"/>
    </row>
    <row r="180" spans="1:10" ht="12" customHeight="1">
      <c r="C180" s="730" t="s">
        <v>3396</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61036</v>
      </c>
      <c r="G183" s="667"/>
      <c r="I183" s="667"/>
    </row>
    <row r="184" spans="1:10" ht="12" customHeight="1">
      <c r="C184" s="730" t="s">
        <v>3394</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3394</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3398</v>
      </c>
      <c r="B197" s="779"/>
      <c r="C197" s="779"/>
      <c r="D197" s="779"/>
      <c r="E197" s="784" t="s">
        <v>3397</v>
      </c>
      <c r="F197" s="4078">
        <f>'Part VIII-Threshold Criteria'!E391</f>
        <v>0</v>
      </c>
      <c r="G197" s="4078"/>
      <c r="H197" s="4078"/>
      <c r="I197" s="4078"/>
      <c r="J197" s="4078"/>
    </row>
    <row r="198" spans="1:10" ht="9" customHeight="1">
      <c r="G198" s="667"/>
      <c r="H198" s="667"/>
      <c r="I198" s="667"/>
    </row>
    <row r="199" spans="1:10" ht="12" customHeight="1">
      <c r="A199" s="808" t="s">
        <v>3215</v>
      </c>
      <c r="G199" s="667"/>
      <c r="H199" s="667"/>
      <c r="I199" s="792"/>
    </row>
    <row r="200" spans="1:10" ht="25.5" hidden="1" customHeight="1">
      <c r="A200" s="4067" t="str">
        <f>'Subsidy Layering Memo'!A98</f>
        <v>Include any reserve requirements; explain any reserves far in excess of 6 month ODR, 3 mo lease up, 1 year RR, 6 mo T&amp;I standards.</v>
      </c>
      <c r="B200" s="4067"/>
      <c r="C200" s="4067"/>
      <c r="D200" s="4067"/>
      <c r="E200" s="4067"/>
      <c r="F200" s="4067"/>
      <c r="G200" s="4067"/>
      <c r="H200" s="4067"/>
      <c r="I200" s="4067"/>
      <c r="J200" s="4067"/>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4068" t="s">
        <v>2840</v>
      </c>
      <c r="B204" s="4068"/>
      <c r="C204" s="4068"/>
      <c r="D204" s="4068"/>
      <c r="E204" s="4068"/>
      <c r="F204" s="4068"/>
      <c r="G204" s="4068"/>
      <c r="H204" s="4068"/>
      <c r="I204" s="4068"/>
      <c r="J204" s="4068"/>
    </row>
    <row r="205" spans="1:10">
      <c r="A205" s="667" t="s">
        <v>2841</v>
      </c>
      <c r="G205" s="667"/>
      <c r="H205" s="667"/>
      <c r="I205" s="667"/>
    </row>
    <row r="206" spans="1:10" ht="38.25" customHeight="1">
      <c r="A206" s="4068" t="str">
        <f>'Subsidy Layering Memo'!A37&amp;".  "&amp;'Subsidy Layering Memo'!A38</f>
        <v xml:space="preserve">.  </v>
      </c>
      <c r="B206" s="4075"/>
      <c r="C206" s="4075"/>
      <c r="D206" s="4075"/>
      <c r="E206" s="4075"/>
      <c r="F206" s="4075"/>
      <c r="G206" s="4075"/>
      <c r="H206" s="4075"/>
      <c r="I206" s="4075"/>
      <c r="J206" s="4075"/>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4127" t="str">
        <f>'Part I-Project Information'!F34</f>
        <v>The Pointe at St. Martin</v>
      </c>
      <c r="E3" s="4128"/>
      <c r="F3" s="4128"/>
      <c r="G3" s="4128"/>
      <c r="H3" s="4128"/>
      <c r="I3" s="4128"/>
      <c r="J3" s="4133" t="s">
        <v>4644</v>
      </c>
      <c r="K3" s="4134"/>
    </row>
    <row r="4" spans="1:11" ht="15" customHeight="1">
      <c r="A4" s="1633" t="s">
        <v>4642</v>
      </c>
      <c r="B4" s="1634"/>
      <c r="C4" s="1635"/>
      <c r="D4" s="4129" t="str">
        <f>CONCATENATE('Part I-Project Information'!F35,", ",'Part I-Project Information'!F38,", GA ",'Part I-Project Information'!J38," (",'Part I-Project Information'!J39," Co.)",)</f>
        <v>310 Ridge Road, Hartwell, GA 306430000 (Hart Co.)</v>
      </c>
      <c r="E4" s="4130"/>
      <c r="F4" s="4130"/>
      <c r="G4" s="4130"/>
      <c r="H4" s="4130"/>
      <c r="I4" s="4130"/>
      <c r="J4" s="4135" t="s">
        <v>4683</v>
      </c>
      <c r="K4" s="4136"/>
    </row>
    <row r="5" spans="1:11" ht="15" customHeight="1" thickBot="1">
      <c r="A5" s="1636" t="s">
        <v>4643</v>
      </c>
      <c r="B5" s="1637"/>
      <c r="C5" s="1638"/>
      <c r="D5" s="4131"/>
      <c r="E5" s="4132"/>
      <c r="F5" s="4132"/>
      <c r="G5" s="4132"/>
      <c r="H5" s="4132"/>
      <c r="I5" s="4132"/>
      <c r="J5" s="4137"/>
      <c r="K5" s="4138"/>
    </row>
    <row r="6" spans="1:11" ht="9" customHeight="1" thickBot="1">
      <c r="E6" s="1628"/>
    </row>
    <row r="7" spans="1:11">
      <c r="A7" s="4124" t="s">
        <v>4645</v>
      </c>
      <c r="B7" s="4125"/>
      <c r="C7" s="4125"/>
      <c r="D7" s="4125"/>
      <c r="E7" s="4125"/>
      <c r="F7" s="4125"/>
      <c r="G7" s="4125"/>
      <c r="H7" s="4125"/>
      <c r="I7" s="4125"/>
      <c r="J7" s="4125"/>
      <c r="K7" s="4126"/>
    </row>
    <row r="8" spans="1:11" ht="14.25" customHeight="1">
      <c r="A8" s="1654"/>
      <c r="B8" s="1654"/>
      <c r="C8" s="1676">
        <v>1</v>
      </c>
      <c r="D8" s="1655" t="s">
        <v>4646</v>
      </c>
      <c r="E8" s="1655"/>
      <c r="F8" s="1655"/>
      <c r="G8" s="1655"/>
      <c r="H8" s="1655"/>
      <c r="I8" s="1655"/>
      <c r="J8" s="1655"/>
      <c r="K8" s="1656"/>
    </row>
    <row r="9" spans="1:11" ht="7.2" customHeight="1">
      <c r="A9" s="4119"/>
      <c r="B9" s="4119"/>
      <c r="C9" s="4119"/>
      <c r="D9" s="4120"/>
      <c r="E9" s="4120"/>
      <c r="F9" s="4120"/>
      <c r="G9" s="4120"/>
      <c r="H9" s="4120"/>
      <c r="I9" s="4120"/>
      <c r="J9" s="4120"/>
      <c r="K9" s="1657"/>
    </row>
    <row r="10" spans="1:11">
      <c r="A10" s="4083" t="s">
        <v>4647</v>
      </c>
      <c r="B10" s="4084"/>
      <c r="C10" s="4084"/>
      <c r="D10" s="4084"/>
      <c r="E10" s="4084"/>
      <c r="F10" s="4084"/>
      <c r="G10" s="4084"/>
      <c r="H10" s="4084"/>
      <c r="I10" s="4084"/>
      <c r="J10" s="4084"/>
      <c r="K10" s="4085"/>
    </row>
    <row r="11" spans="1:11" ht="14.25" customHeight="1">
      <c r="A11" s="1654"/>
      <c r="B11" s="1654"/>
      <c r="C11" s="1676">
        <v>2</v>
      </c>
      <c r="D11" s="1655" t="s">
        <v>4648</v>
      </c>
      <c r="E11" s="1658"/>
      <c r="F11" s="1658"/>
      <c r="G11" s="1658"/>
      <c r="H11" s="1658"/>
      <c r="I11" s="1658"/>
      <c r="J11" s="1658"/>
      <c r="K11" s="1659"/>
    </row>
    <row r="12" spans="1:11" ht="7.2" customHeight="1">
      <c r="A12" s="4119"/>
      <c r="B12" s="4119"/>
      <c r="C12" s="4119"/>
      <c r="D12" s="4120"/>
      <c r="E12" s="4120"/>
      <c r="F12" s="4120"/>
      <c r="G12" s="4120"/>
      <c r="H12" s="4120"/>
      <c r="I12" s="4120"/>
      <c r="J12" s="4120"/>
      <c r="K12" s="1660"/>
    </row>
    <row r="13" spans="1:11">
      <c r="A13" s="4083" t="s">
        <v>4649</v>
      </c>
      <c r="B13" s="4084"/>
      <c r="C13" s="4084"/>
      <c r="D13" s="4084"/>
      <c r="E13" s="4084"/>
      <c r="F13" s="4084"/>
      <c r="G13" s="4084"/>
      <c r="H13" s="4084"/>
      <c r="I13" s="4084"/>
      <c r="J13" s="4084"/>
      <c r="K13" s="4085"/>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4119"/>
      <c r="B18" s="4119"/>
      <c r="C18" s="4119"/>
      <c r="D18" s="4120"/>
      <c r="E18" s="4120"/>
      <c r="F18" s="4120"/>
      <c r="G18" s="4120"/>
      <c r="H18" s="4120"/>
      <c r="I18" s="4120"/>
      <c r="J18" s="4120"/>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4119"/>
      <c r="B21" s="4119"/>
      <c r="C21" s="4119"/>
      <c r="D21" s="4120"/>
      <c r="E21" s="4120"/>
      <c r="F21" s="4120"/>
      <c r="G21" s="4120"/>
      <c r="H21" s="4120"/>
      <c r="I21" s="4120"/>
      <c r="J21" s="4120"/>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086" t="s">
        <v>4689</v>
      </c>
      <c r="B30" s="4087"/>
      <c r="C30" s="4087"/>
      <c r="D30" s="4087"/>
      <c r="E30" s="4087"/>
      <c r="F30" s="4087"/>
      <c r="G30" s="4087"/>
      <c r="H30" s="4087"/>
      <c r="I30" s="4087"/>
      <c r="J30" s="4087"/>
      <c r="K30" s="4088"/>
    </row>
    <row r="31" spans="1:13">
      <c r="A31" s="1652"/>
      <c r="B31" s="4089" t="s">
        <v>4644</v>
      </c>
      <c r="C31" s="4089"/>
      <c r="D31" s="4089"/>
      <c r="E31" s="4089"/>
      <c r="F31" s="4089"/>
      <c r="G31" s="4121" t="s">
        <v>4658</v>
      </c>
      <c r="H31" s="4122"/>
      <c r="I31" s="4122"/>
      <c r="J31" s="4122"/>
      <c r="K31" s="4123"/>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4081" t="s">
        <v>4663</v>
      </c>
      <c r="M32" s="408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081"/>
      <c r="M33" s="408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081"/>
      <c r="M34" s="408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081"/>
      <c r="M35" s="408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081"/>
      <c r="M36" s="408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081"/>
      <c r="M37" s="408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081"/>
      <c r="M38" s="408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081"/>
      <c r="M39" s="408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081"/>
      <c r="M40" s="408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081"/>
      <c r="M41" s="408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081"/>
      <c r="M42" s="408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081"/>
      <c r="M43" s="408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081"/>
      <c r="M44" s="408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081"/>
      <c r="M45" s="408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081"/>
      <c r="M46" s="408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081"/>
      <c r="M47" s="408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081"/>
      <c r="M48" s="408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081"/>
      <c r="M49" s="408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081"/>
      <c r="M50" s="408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081"/>
      <c r="M51" s="4081"/>
    </row>
    <row r="52" spans="1:13" ht="15" customHeight="1" thickBot="1">
      <c r="A52" s="1652"/>
      <c r="B52" s="1673"/>
      <c r="D52" s="1661"/>
      <c r="E52" s="1661"/>
      <c r="F52" s="1661"/>
      <c r="G52" s="1686" t="s">
        <v>4664</v>
      </c>
      <c r="H52" s="1685" t="e">
        <f>SUM(H33:H51)</f>
        <v>#VALUE!</v>
      </c>
      <c r="I52" s="1661"/>
      <c r="J52" s="1673" t="s">
        <v>4665</v>
      </c>
      <c r="K52" s="1669" t="e">
        <f>SUM(K33:K51)</f>
        <v>#VALUE!</v>
      </c>
      <c r="L52" s="4081"/>
      <c r="M52" s="4081"/>
    </row>
    <row r="53" spans="1:13" ht="15" customHeight="1">
      <c r="A53" s="1652"/>
      <c r="B53" s="1674"/>
      <c r="C53" s="4103" t="s">
        <v>4666</v>
      </c>
      <c r="D53" s="4103"/>
      <c r="E53" s="4103"/>
      <c r="F53" s="4103"/>
      <c r="G53" s="4103"/>
      <c r="H53" s="4103"/>
      <c r="I53" s="4103"/>
      <c r="J53" s="4104"/>
      <c r="K53" s="1675" t="str">
        <f>IF(K17="no",0,IF(K17="yes",K16,"Error"))</f>
        <v>Error</v>
      </c>
      <c r="L53" s="4081"/>
      <c r="M53" s="4081"/>
    </row>
    <row r="54" spans="1:13" ht="15" customHeight="1" thickBot="1">
      <c r="A54" s="1652"/>
      <c r="B54" s="1674"/>
      <c r="C54" s="4105" t="s">
        <v>4667</v>
      </c>
      <c r="D54" s="4105"/>
      <c r="E54" s="4105"/>
      <c r="F54" s="4105"/>
      <c r="G54" s="4105"/>
      <c r="H54" s="4105"/>
      <c r="I54" s="4105"/>
      <c r="J54" s="4106"/>
      <c r="K54" s="1688" t="e">
        <f>K52+K53</f>
        <v>#VALUE!</v>
      </c>
    </row>
    <row r="55" spans="1:13" ht="7.95" customHeight="1">
      <c r="A55" s="4107"/>
      <c r="B55" s="4098"/>
      <c r="C55" s="4098"/>
      <c r="D55" s="4098"/>
      <c r="E55" s="4098"/>
      <c r="F55" s="4098"/>
      <c r="G55" s="4098"/>
      <c r="H55" s="4098"/>
      <c r="I55" s="4098"/>
      <c r="J55" s="4098"/>
      <c r="K55" s="1702"/>
    </row>
    <row r="56" spans="1:13" ht="15" customHeight="1">
      <c r="A56" s="4090" t="s">
        <v>4668</v>
      </c>
      <c r="B56" s="4091"/>
      <c r="C56" s="4091"/>
      <c r="D56" s="4091"/>
      <c r="E56" s="4091"/>
      <c r="F56" s="4091"/>
      <c r="G56" s="4091"/>
      <c r="H56" s="4091"/>
      <c r="I56" s="4091"/>
      <c r="J56" s="4091"/>
      <c r="K56" s="4092"/>
    </row>
    <row r="57" spans="1:13" ht="48" customHeight="1">
      <c r="A57" s="1649"/>
      <c r="B57" s="1640"/>
      <c r="C57" s="1651" t="s">
        <v>4669</v>
      </c>
      <c r="D57" s="2017" t="s">
        <v>6835</v>
      </c>
      <c r="E57" s="4108" t="s">
        <v>4685</v>
      </c>
      <c r="F57" s="4109"/>
      <c r="G57" s="4110" t="s">
        <v>4670</v>
      </c>
      <c r="H57" s="4111"/>
      <c r="I57" s="4108" t="s">
        <v>4684</v>
      </c>
      <c r="J57" s="4109"/>
      <c r="K57" s="4112"/>
    </row>
    <row r="58" spans="1:13" ht="15" customHeight="1">
      <c r="A58" s="1805"/>
      <c r="B58" s="2014"/>
      <c r="C58" s="1670">
        <f>SUMIF(C33:C51, "0", H33:H51)</f>
        <v>0</v>
      </c>
      <c r="D58" s="2018">
        <f>ROUNDUP(C58*1.1,0)</f>
        <v>0</v>
      </c>
      <c r="E58" s="4114" t="s">
        <v>4671</v>
      </c>
      <c r="F58" s="4115"/>
      <c r="G58" s="4116">
        <f>62445*2.4</f>
        <v>149868</v>
      </c>
      <c r="H58" s="4117"/>
      <c r="I58" s="4118">
        <f t="shared" ref="I58:I63" si="6">D58*G58</f>
        <v>0</v>
      </c>
      <c r="J58" s="4118"/>
      <c r="K58" s="4113"/>
    </row>
    <row r="59" spans="1:13">
      <c r="A59" s="1805"/>
      <c r="B59" s="2014"/>
      <c r="C59" s="1671">
        <f>SUMIF(C33:C51, "1", H33:H51)</f>
        <v>0</v>
      </c>
      <c r="D59" s="2019">
        <f t="shared" ref="D59:D63" si="7">ROUNDUP(C59*1.1,0)</f>
        <v>0</v>
      </c>
      <c r="E59" s="4099" t="s">
        <v>2632</v>
      </c>
      <c r="F59" s="4100"/>
      <c r="G59" s="4101">
        <f>71584*2.4</f>
        <v>171801.60000000001</v>
      </c>
      <c r="H59" s="4102"/>
      <c r="I59" s="4080">
        <f t="shared" si="6"/>
        <v>0</v>
      </c>
      <c r="J59" s="4080"/>
      <c r="K59" s="4113"/>
    </row>
    <row r="60" spans="1:13" ht="15" customHeight="1">
      <c r="A60" s="1805"/>
      <c r="B60" s="2014"/>
      <c r="C60" s="1671">
        <f>SUMIF(C33:C51, "2", H33:H51)</f>
        <v>0</v>
      </c>
      <c r="D60" s="2019">
        <f t="shared" si="7"/>
        <v>0</v>
      </c>
      <c r="E60" s="4099" t="s">
        <v>2633</v>
      </c>
      <c r="F60" s="4100"/>
      <c r="G60" s="4101">
        <f>87047*2.4</f>
        <v>208912.8</v>
      </c>
      <c r="H60" s="4102"/>
      <c r="I60" s="4080">
        <f t="shared" si="6"/>
        <v>0</v>
      </c>
      <c r="J60" s="4080"/>
      <c r="K60" s="4113"/>
    </row>
    <row r="61" spans="1:13">
      <c r="A61" s="1805"/>
      <c r="B61" s="2014"/>
      <c r="C61" s="1671">
        <f>SUMIF(C33:C51, "3", H33:H51)</f>
        <v>0</v>
      </c>
      <c r="D61" s="2019">
        <f t="shared" si="7"/>
        <v>0</v>
      </c>
      <c r="E61" s="4099" t="s">
        <v>2636</v>
      </c>
      <c r="F61" s="4100"/>
      <c r="G61" s="4101">
        <f>112611*2.4</f>
        <v>270266.39999999997</v>
      </c>
      <c r="H61" s="4102"/>
      <c r="I61" s="4080">
        <f t="shared" si="6"/>
        <v>0</v>
      </c>
      <c r="J61" s="4080"/>
      <c r="K61" s="4113"/>
    </row>
    <row r="62" spans="1:13">
      <c r="A62" s="1805"/>
      <c r="B62" s="2014"/>
      <c r="C62" s="1671">
        <f>SUMIF(C33:C51, "4", H33:H51)</f>
        <v>0</v>
      </c>
      <c r="D62" s="2019">
        <f t="shared" si="7"/>
        <v>0</v>
      </c>
      <c r="E62" s="4099" t="s">
        <v>4672</v>
      </c>
      <c r="F62" s="4100"/>
      <c r="G62" s="4101">
        <f>123611*2.4</f>
        <v>296666.39999999997</v>
      </c>
      <c r="H62" s="4102"/>
      <c r="I62" s="4080">
        <f t="shared" si="6"/>
        <v>0</v>
      </c>
      <c r="J62" s="4080"/>
      <c r="K62" s="4113"/>
    </row>
    <row r="63" spans="1:13">
      <c r="A63" s="2015"/>
      <c r="B63" s="2016"/>
      <c r="C63" s="1672">
        <f>SUMIF(C33:C51, "5", H33:H51)</f>
        <v>0</v>
      </c>
      <c r="D63" s="2020">
        <f t="shared" si="7"/>
        <v>0</v>
      </c>
      <c r="E63" s="4093" t="s">
        <v>4673</v>
      </c>
      <c r="F63" s="4094"/>
      <c r="G63" s="4095">
        <f>123611*2.4</f>
        <v>296666.39999999997</v>
      </c>
      <c r="H63" s="4096"/>
      <c r="I63" s="4097">
        <f t="shared" si="6"/>
        <v>0</v>
      </c>
      <c r="J63" s="4097"/>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4098"/>
      <c r="B65" s="4098"/>
      <c r="C65" s="4098"/>
      <c r="D65" s="4098"/>
      <c r="E65" s="4098"/>
      <c r="F65" s="4098"/>
      <c r="G65" s="4098"/>
      <c r="H65" s="4098"/>
      <c r="I65" s="4098"/>
      <c r="J65" s="4098"/>
    </row>
    <row r="66" spans="1:11">
      <c r="A66" s="4090" t="s">
        <v>4676</v>
      </c>
      <c r="B66" s="4091"/>
      <c r="C66" s="4091"/>
      <c r="D66" s="4091"/>
      <c r="E66" s="4091"/>
      <c r="F66" s="4091"/>
      <c r="G66" s="4091"/>
      <c r="H66" s="4091"/>
      <c r="I66" s="4091"/>
      <c r="J66" s="4091"/>
      <c r="K66" s="4092"/>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4082" t="s">
        <v>4680</v>
      </c>
      <c r="D70" s="4082"/>
      <c r="E70" s="4082"/>
      <c r="F70" s="4082"/>
      <c r="G70" s="4082"/>
      <c r="H70" s="4082"/>
      <c r="I70" s="4082"/>
      <c r="J70" s="408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The Pointe at St. Martin</v>
      </c>
    </row>
    <row r="2" spans="1:11">
      <c r="A2" s="667" t="s">
        <v>3134</v>
      </c>
      <c r="H2" s="730" t="str">
        <f>'Sensitivity Analysis'!E8</f>
        <v>2020-091</v>
      </c>
    </row>
    <row r="3" spans="1:11" ht="3" customHeight="1"/>
    <row r="4" spans="1:11" ht="51.75" customHeight="1">
      <c r="A4" s="4075" t="s">
        <v>3232</v>
      </c>
      <c r="B4" s="4075"/>
      <c r="C4" s="4075"/>
      <c r="D4" s="4075"/>
      <c r="E4" s="4075"/>
      <c r="F4" s="4075"/>
      <c r="G4" s="4075"/>
      <c r="H4" s="4075"/>
      <c r="J4" s="1218">
        <f>SUM('Part VII-Pro Forma'!B14:B16)/12</f>
        <v>28662.8976</v>
      </c>
      <c r="K4" s="1217" t="s">
        <v>4106</v>
      </c>
    </row>
    <row r="5" spans="1:11" ht="1.5" customHeight="1">
      <c r="C5" s="809"/>
      <c r="D5" s="809"/>
      <c r="E5" s="809"/>
      <c r="F5" s="809"/>
      <c r="G5" s="809"/>
      <c r="H5" s="809"/>
    </row>
    <row r="6" spans="1:11" ht="12.75" customHeight="1">
      <c r="B6" s="810" t="s">
        <v>2372</v>
      </c>
      <c r="C6" s="4075" t="s">
        <v>3135</v>
      </c>
      <c r="D6" s="4075"/>
      <c r="E6" s="4075"/>
      <c r="F6" s="4075"/>
      <c r="G6" s="4075"/>
      <c r="H6" s="4075"/>
    </row>
    <row r="7" spans="1:11" ht="12.75" customHeight="1">
      <c r="B7" s="810" t="s">
        <v>2373</v>
      </c>
      <c r="C7" s="4075" t="s">
        <v>3136</v>
      </c>
      <c r="D7" s="4075"/>
      <c r="E7" s="4075"/>
      <c r="F7" s="4075"/>
      <c r="G7" s="4075"/>
      <c r="H7" s="4075"/>
    </row>
    <row r="8" spans="1:11" ht="3" customHeight="1"/>
    <row r="9" spans="1:11">
      <c r="A9" s="730" t="s">
        <v>3137</v>
      </c>
    </row>
    <row r="10" spans="1:11" ht="1.5" customHeight="1"/>
    <row r="11" spans="1:11" ht="26.25" customHeight="1">
      <c r="A11" s="811" t="s">
        <v>1936</v>
      </c>
      <c r="B11" s="4144" t="s">
        <v>3229</v>
      </c>
      <c r="C11" s="4144"/>
      <c r="D11" s="4144"/>
      <c r="E11" s="4144"/>
      <c r="F11" s="4144"/>
      <c r="G11" s="4145">
        <f>'Part III-Sources of Funds'!I49+'Part III-Sources of Funds'!I50</f>
        <v>11374075</v>
      </c>
      <c r="H11" s="4145"/>
    </row>
    <row r="12" spans="1:11" ht="1.5" customHeight="1">
      <c r="G12" s="779"/>
      <c r="H12" s="779"/>
    </row>
    <row r="13" spans="1:11" ht="26.25" customHeight="1">
      <c r="A13" s="811" t="s">
        <v>1938</v>
      </c>
      <c r="B13" s="4144" t="s">
        <v>3230</v>
      </c>
      <c r="C13" s="4144"/>
      <c r="D13" s="4144"/>
      <c r="E13" s="4144"/>
      <c r="F13" s="4144"/>
      <c r="G13" s="4146" t="s">
        <v>3063</v>
      </c>
      <c r="H13" s="4146"/>
    </row>
    <row r="14" spans="1:11" ht="12" hidden="1" customHeight="1">
      <c r="A14" s="811"/>
      <c r="B14" s="4064"/>
      <c r="C14" s="4064"/>
      <c r="D14" s="4064"/>
      <c r="E14" s="4064"/>
      <c r="F14" s="4064"/>
      <c r="G14" s="4064"/>
      <c r="H14" s="4064"/>
    </row>
    <row r="15" spans="1:11" ht="1.5" customHeight="1"/>
    <row r="16" spans="1:11" ht="12" customHeight="1">
      <c r="A16" s="811" t="s">
        <v>731</v>
      </c>
      <c r="B16" s="730" t="s">
        <v>3233</v>
      </c>
      <c r="F16" s="803"/>
      <c r="G16" s="4061" t="s">
        <v>2889</v>
      </c>
      <c r="H16" s="4061"/>
    </row>
    <row r="17" spans="1:8" ht="1.5" customHeight="1">
      <c r="G17" s="785"/>
    </row>
    <row r="18" spans="1:8" ht="12" customHeight="1">
      <c r="A18" s="811" t="s">
        <v>2065</v>
      </c>
      <c r="B18" s="779" t="s">
        <v>3231</v>
      </c>
      <c r="C18" s="811"/>
      <c r="D18" s="811"/>
      <c r="E18" s="811"/>
      <c r="G18" s="4064" t="s">
        <v>2728</v>
      </c>
      <c r="H18" s="4064"/>
    </row>
    <row r="19" spans="1:8" ht="12" hidden="1" customHeight="1">
      <c r="B19" s="4064"/>
      <c r="C19" s="4064"/>
      <c r="D19" s="4064"/>
      <c r="E19" s="4064"/>
      <c r="F19" s="4064"/>
      <c r="G19" s="4064"/>
      <c r="H19" s="4064"/>
    </row>
    <row r="20" spans="1:8" ht="13.5" customHeight="1"/>
    <row r="21" spans="1:8" ht="12" customHeight="1">
      <c r="A21" s="667" t="s">
        <v>3138</v>
      </c>
    </row>
    <row r="22" spans="1:8" ht="3" customHeight="1"/>
    <row r="23" spans="1:8" ht="24.75" customHeight="1">
      <c r="A23" s="4147" t="s">
        <v>4821</v>
      </c>
      <c r="B23" s="4147"/>
      <c r="C23" s="4147"/>
      <c r="D23" s="4147"/>
      <c r="E23" s="4147"/>
      <c r="F23" s="4147"/>
      <c r="G23" s="4147"/>
      <c r="H23" s="4147"/>
    </row>
    <row r="24" spans="1:8" ht="9" customHeight="1" thickBot="1">
      <c r="A24" s="752"/>
    </row>
    <row r="25" spans="1:8" ht="16.2" customHeight="1" thickBot="1">
      <c r="A25" s="4139">
        <v>20</v>
      </c>
      <c r="B25" s="4140"/>
      <c r="C25" s="1789" t="s">
        <v>1018</v>
      </c>
    </row>
    <row r="26" spans="1:8" ht="9" customHeight="1">
      <c r="A26" s="752"/>
    </row>
    <row r="27" spans="1:8" ht="28.2" customHeight="1">
      <c r="A27" s="4143" t="s">
        <v>4826</v>
      </c>
      <c r="B27" s="4143"/>
      <c r="C27" s="4143"/>
      <c r="D27" s="4143"/>
      <c r="E27" s="4143"/>
      <c r="F27" s="4143"/>
      <c r="G27" s="4143"/>
      <c r="H27" s="4143"/>
    </row>
    <row r="28" spans="1:8" ht="9" customHeight="1">
      <c r="A28" s="752"/>
    </row>
    <row r="29" spans="1:8">
      <c r="A29" s="785" t="s">
        <v>3234</v>
      </c>
      <c r="B29" s="812" t="str">
        <f>IF('Part VI-Revenues &amp; Expenses'!$K$62=0,"",'Part VI-Revenues &amp; Expenses'!$K$62)</f>
        <v/>
      </c>
      <c r="C29" s="785" t="s">
        <v>4819</v>
      </c>
      <c r="D29" s="813" t="s">
        <v>4820</v>
      </c>
    </row>
    <row r="30" spans="1:8" ht="1.95" customHeight="1"/>
    <row r="31" spans="1:8" ht="12.75" customHeight="1">
      <c r="C31" s="779" t="s">
        <v>3139</v>
      </c>
      <c r="D31" s="814" t="s">
        <v>1939</v>
      </c>
      <c r="E31" s="815"/>
      <c r="F31" s="4075" t="s">
        <v>3140</v>
      </c>
      <c r="G31" s="4075"/>
      <c r="H31" s="4075"/>
    </row>
    <row r="32" spans="1:8" ht="12.75" customHeight="1">
      <c r="C32" s="816" t="s">
        <v>1326</v>
      </c>
      <c r="D32" s="814" t="s">
        <v>1941</v>
      </c>
      <c r="E32" s="4075" t="s">
        <v>3239</v>
      </c>
      <c r="F32" s="4075"/>
      <c r="G32" s="4075"/>
      <c r="H32" s="4075"/>
    </row>
    <row r="33" spans="1:11" ht="12.75" customHeight="1">
      <c r="C33" s="1787" t="s">
        <v>4824</v>
      </c>
      <c r="E33" s="4075" t="s">
        <v>3400</v>
      </c>
      <c r="F33" s="4075"/>
      <c r="G33" s="4075"/>
      <c r="H33" s="4075"/>
    </row>
    <row r="34" spans="1:11" ht="12.75" customHeight="1">
      <c r="C34" s="1788"/>
      <c r="D34" s="1786" t="s">
        <v>3238</v>
      </c>
      <c r="E34" s="4141" t="s">
        <v>3401</v>
      </c>
      <c r="F34" s="4141"/>
      <c r="G34" s="4141"/>
      <c r="H34" s="4141"/>
    </row>
    <row r="35" spans="1:11" ht="3" customHeight="1">
      <c r="D35" s="814"/>
      <c r="E35" s="1784"/>
      <c r="F35" s="1784"/>
      <c r="G35" s="1784"/>
      <c r="H35" s="1784"/>
    </row>
    <row r="36" spans="1:11" ht="12.75" customHeight="1">
      <c r="C36" s="779" t="s">
        <v>3139</v>
      </c>
      <c r="D36" s="814" t="s">
        <v>1939</v>
      </c>
      <c r="E36" s="815"/>
      <c r="F36" s="811" t="s">
        <v>3140</v>
      </c>
      <c r="G36" s="811"/>
      <c r="H36" s="811"/>
    </row>
    <row r="37" spans="1:11" ht="12.75" customHeight="1">
      <c r="C37" s="816" t="s">
        <v>1326</v>
      </c>
      <c r="D37" s="814" t="s">
        <v>1941</v>
      </c>
      <c r="E37" s="4075" t="s">
        <v>3239</v>
      </c>
      <c r="F37" s="4075"/>
      <c r="G37" s="4075"/>
      <c r="H37" s="4075"/>
    </row>
    <row r="38" spans="1:11" ht="12.75" customHeight="1">
      <c r="C38" s="1787" t="s">
        <v>4824</v>
      </c>
      <c r="E38" s="4075" t="s">
        <v>3400</v>
      </c>
      <c r="F38" s="4075"/>
      <c r="G38" s="4075"/>
      <c r="H38" s="4075"/>
    </row>
    <row r="39" spans="1:11" ht="12.75" customHeight="1">
      <c r="C39" s="1788"/>
      <c r="D39" s="1786" t="s">
        <v>3238</v>
      </c>
      <c r="E39" s="4141" t="s">
        <v>3401</v>
      </c>
      <c r="F39" s="4141"/>
      <c r="G39" s="4141"/>
      <c r="H39" s="4141"/>
    </row>
    <row r="40" spans="1:11" ht="3" customHeight="1">
      <c r="D40" s="814"/>
      <c r="E40" s="1784"/>
      <c r="F40" s="1784"/>
      <c r="G40" s="1784"/>
      <c r="H40" s="1784"/>
    </row>
    <row r="41" spans="1:11" ht="12.75" customHeight="1">
      <c r="C41" s="779" t="s">
        <v>3139</v>
      </c>
      <c r="D41" s="814" t="s">
        <v>1939</v>
      </c>
      <c r="E41" s="815"/>
      <c r="F41" s="811" t="s">
        <v>3140</v>
      </c>
      <c r="G41" s="811"/>
      <c r="H41" s="811"/>
    </row>
    <row r="42" spans="1:11" ht="12.75" customHeight="1">
      <c r="C42" s="816" t="s">
        <v>1326</v>
      </c>
      <c r="D42" s="814" t="s">
        <v>1941</v>
      </c>
      <c r="E42" s="4075" t="s">
        <v>3239</v>
      </c>
      <c r="F42" s="4075"/>
      <c r="G42" s="4075"/>
      <c r="H42" s="4075"/>
    </row>
    <row r="43" spans="1:11" ht="12.75" customHeight="1">
      <c r="C43" s="1787" t="s">
        <v>4824</v>
      </c>
      <c r="E43" s="4075" t="s">
        <v>3400</v>
      </c>
      <c r="F43" s="4075"/>
      <c r="G43" s="4075"/>
      <c r="H43" s="4075"/>
    </row>
    <row r="44" spans="1:11" ht="12.75" customHeight="1">
      <c r="C44" s="1788"/>
      <c r="D44" s="1786" t="s">
        <v>3238</v>
      </c>
      <c r="E44" s="4141" t="s">
        <v>3401</v>
      </c>
      <c r="F44" s="4141"/>
      <c r="G44" s="4141"/>
      <c r="H44" s="4141"/>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3402</v>
      </c>
    </row>
    <row r="47" spans="1:11" ht="1.95" customHeight="1">
      <c r="K47" s="1803"/>
    </row>
    <row r="48" spans="1:11" ht="12.75" customHeight="1">
      <c r="C48" s="779" t="s">
        <v>3139</v>
      </c>
      <c r="D48" s="814" t="s">
        <v>1939</v>
      </c>
      <c r="E48" s="815"/>
      <c r="F48" s="811" t="s">
        <v>3140</v>
      </c>
      <c r="G48" s="811"/>
      <c r="H48" s="811"/>
      <c r="K48" s="1803"/>
    </row>
    <row r="49" spans="1:11" ht="12.75" customHeight="1">
      <c r="C49" s="816" t="s">
        <v>1326</v>
      </c>
      <c r="D49" s="814" t="s">
        <v>1941</v>
      </c>
      <c r="E49" s="4075" t="s">
        <v>3239</v>
      </c>
      <c r="F49" s="4075"/>
      <c r="G49" s="4075"/>
      <c r="H49" s="4075"/>
      <c r="K49" s="1803"/>
    </row>
    <row r="50" spans="1:11" ht="12.75" customHeight="1">
      <c r="C50" s="1787" t="s">
        <v>4824</v>
      </c>
      <c r="E50" s="4075" t="s">
        <v>3400</v>
      </c>
      <c r="F50" s="4075"/>
      <c r="G50" s="4075"/>
      <c r="H50" s="4075"/>
    </row>
    <row r="51" spans="1:11" ht="12.75" customHeight="1">
      <c r="C51" s="1788"/>
      <c r="D51" s="1785" t="s">
        <v>3238</v>
      </c>
      <c r="E51" s="4142" t="s">
        <v>3401</v>
      </c>
      <c r="F51" s="4142"/>
      <c r="G51" s="4142"/>
      <c r="H51" s="4142"/>
    </row>
    <row r="52" spans="1:11" ht="3" customHeight="1">
      <c r="D52" s="814"/>
      <c r="E52" s="1784"/>
      <c r="F52" s="1784"/>
      <c r="G52" s="1784"/>
      <c r="H52" s="1784"/>
    </row>
    <row r="53" spans="1:11" ht="12.75" customHeight="1">
      <c r="C53" s="779" t="s">
        <v>3139</v>
      </c>
      <c r="D53" s="814" t="s">
        <v>1939</v>
      </c>
      <c r="E53" s="815"/>
      <c r="F53" s="811" t="s">
        <v>3140</v>
      </c>
      <c r="G53" s="811"/>
      <c r="H53" s="811"/>
    </row>
    <row r="54" spans="1:11" ht="12.75" customHeight="1">
      <c r="C54" s="816" t="s">
        <v>1326</v>
      </c>
      <c r="D54" s="814" t="s">
        <v>1941</v>
      </c>
      <c r="E54" s="4075" t="s">
        <v>3239</v>
      </c>
      <c r="F54" s="4075"/>
      <c r="G54" s="4075"/>
      <c r="H54" s="4075"/>
    </row>
    <row r="55" spans="1:11" ht="12.75" customHeight="1">
      <c r="C55" s="1787" t="s">
        <v>4824</v>
      </c>
      <c r="E55" s="4075" t="s">
        <v>3400</v>
      </c>
      <c r="F55" s="4075"/>
      <c r="G55" s="4075"/>
      <c r="H55" s="4075"/>
    </row>
    <row r="56" spans="1:11" ht="12.75" customHeight="1">
      <c r="C56" s="1788"/>
      <c r="D56" s="1786" t="s">
        <v>3238</v>
      </c>
      <c r="E56" s="4141" t="s">
        <v>3401</v>
      </c>
      <c r="F56" s="4141"/>
      <c r="G56" s="4141"/>
      <c r="H56" s="4141"/>
    </row>
    <row r="57" spans="1:11" ht="3" customHeight="1">
      <c r="D57" s="814"/>
      <c r="E57" s="1784"/>
      <c r="F57" s="1784"/>
      <c r="G57" s="1784"/>
      <c r="H57" s="1784"/>
    </row>
    <row r="58" spans="1:11" ht="12.75" customHeight="1">
      <c r="C58" s="779" t="s">
        <v>3139</v>
      </c>
      <c r="D58" s="814" t="s">
        <v>1939</v>
      </c>
      <c r="E58" s="815"/>
      <c r="F58" s="811" t="s">
        <v>3140</v>
      </c>
      <c r="G58" s="811"/>
      <c r="H58" s="811"/>
    </row>
    <row r="59" spans="1:11" ht="12.75" customHeight="1">
      <c r="C59" s="816" t="s">
        <v>1326</v>
      </c>
      <c r="D59" s="814" t="s">
        <v>1941</v>
      </c>
      <c r="E59" s="4075" t="s">
        <v>3239</v>
      </c>
      <c r="F59" s="4075"/>
      <c r="G59" s="4075"/>
      <c r="H59" s="4075"/>
    </row>
    <row r="60" spans="1:11" ht="12.75" customHeight="1">
      <c r="C60" s="1787" t="s">
        <v>4824</v>
      </c>
      <c r="E60" s="4075" t="s">
        <v>3400</v>
      </c>
      <c r="F60" s="4075"/>
      <c r="G60" s="4075"/>
      <c r="H60" s="4075"/>
    </row>
    <row r="61" spans="1:11" ht="12.75" customHeight="1">
      <c r="C61" s="1788"/>
      <c r="D61" s="1786" t="s">
        <v>3238</v>
      </c>
      <c r="E61" s="4141" t="s">
        <v>3401</v>
      </c>
      <c r="F61" s="4141"/>
      <c r="G61" s="4141"/>
      <c r="H61" s="4141"/>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3403</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4075" t="s">
        <v>3239</v>
      </c>
      <c r="F66" s="4075"/>
      <c r="G66" s="4075"/>
      <c r="H66" s="4075"/>
    </row>
    <row r="67" spans="1:8" ht="12.75" customHeight="1">
      <c r="C67" s="1787" t="s">
        <v>4824</v>
      </c>
      <c r="E67" s="4075" t="s">
        <v>3400</v>
      </c>
      <c r="F67" s="4075"/>
      <c r="G67" s="4075"/>
      <c r="H67" s="4075"/>
    </row>
    <row r="68" spans="1:8" ht="12.75" customHeight="1">
      <c r="C68" s="1788"/>
      <c r="D68" s="1785" t="s">
        <v>3238</v>
      </c>
      <c r="E68" s="4142" t="s">
        <v>3401</v>
      </c>
      <c r="F68" s="4142"/>
      <c r="G68" s="4142"/>
      <c r="H68" s="4142"/>
    </row>
    <row r="69" spans="1:8" ht="3" customHeight="1">
      <c r="D69" s="814"/>
      <c r="E69" s="1240"/>
      <c r="F69" s="1240"/>
      <c r="G69" s="1240"/>
      <c r="H69" s="1240"/>
    </row>
    <row r="70" spans="1:8" ht="12.75" customHeight="1">
      <c r="C70" s="779" t="s">
        <v>3139</v>
      </c>
      <c r="D70" s="814" t="s">
        <v>1939</v>
      </c>
      <c r="E70" s="815"/>
      <c r="F70" s="811" t="s">
        <v>3140</v>
      </c>
      <c r="G70" s="811"/>
      <c r="H70" s="811"/>
    </row>
    <row r="71" spans="1:8" ht="12.75" customHeight="1">
      <c r="C71" s="816" t="s">
        <v>1326</v>
      </c>
      <c r="D71" s="814" t="s">
        <v>1941</v>
      </c>
      <c r="E71" s="4075" t="s">
        <v>3239</v>
      </c>
      <c r="F71" s="4075"/>
      <c r="G71" s="4075"/>
      <c r="H71" s="4075"/>
    </row>
    <row r="72" spans="1:8" ht="12.75" customHeight="1">
      <c r="C72" s="1787" t="s">
        <v>4824</v>
      </c>
      <c r="E72" s="4075" t="s">
        <v>3400</v>
      </c>
      <c r="F72" s="4075"/>
      <c r="G72" s="4075"/>
      <c r="H72" s="4075"/>
    </row>
    <row r="73" spans="1:8" ht="12.75" customHeight="1">
      <c r="C73" s="1788"/>
      <c r="D73" s="1786" t="s">
        <v>3238</v>
      </c>
      <c r="E73" s="4141" t="s">
        <v>3401</v>
      </c>
      <c r="F73" s="4141"/>
      <c r="G73" s="4141"/>
      <c r="H73" s="4141"/>
    </row>
    <row r="74" spans="1:8" ht="3" customHeight="1">
      <c r="D74" s="814"/>
      <c r="E74" s="1784"/>
      <c r="F74" s="1784"/>
      <c r="G74" s="1784"/>
      <c r="H74" s="1784"/>
    </row>
    <row r="75" spans="1:8" ht="12.75" customHeight="1">
      <c r="C75" s="779" t="s">
        <v>3139</v>
      </c>
      <c r="D75" s="814" t="s">
        <v>1939</v>
      </c>
      <c r="E75" s="815"/>
      <c r="F75" s="811" t="s">
        <v>3140</v>
      </c>
      <c r="G75" s="811"/>
      <c r="H75" s="811"/>
    </row>
    <row r="76" spans="1:8" ht="12.75" customHeight="1">
      <c r="C76" s="816" t="s">
        <v>1326</v>
      </c>
      <c r="D76" s="814" t="s">
        <v>1941</v>
      </c>
      <c r="E76" s="4075" t="s">
        <v>3239</v>
      </c>
      <c r="F76" s="4075"/>
      <c r="G76" s="4075"/>
      <c r="H76" s="4075"/>
    </row>
    <row r="77" spans="1:8" ht="12.75" customHeight="1">
      <c r="C77" s="1787" t="s">
        <v>4824</v>
      </c>
      <c r="E77" s="4075" t="s">
        <v>3400</v>
      </c>
      <c r="F77" s="4075"/>
      <c r="G77" s="4075"/>
      <c r="H77" s="4075"/>
    </row>
    <row r="78" spans="1:8" ht="12.75" customHeight="1">
      <c r="C78" s="1788"/>
      <c r="D78" s="1786" t="s">
        <v>3238</v>
      </c>
      <c r="E78" s="4141" t="s">
        <v>3401</v>
      </c>
      <c r="F78" s="4141"/>
      <c r="G78" s="4141"/>
      <c r="H78" s="4141"/>
    </row>
    <row r="79" spans="1:8" ht="6" customHeight="1">
      <c r="D79" s="814"/>
      <c r="E79" s="1784"/>
      <c r="F79" s="1784"/>
      <c r="G79" s="1784"/>
      <c r="H79" s="1784"/>
    </row>
    <row r="80" spans="1:8">
      <c r="A80" s="785" t="s">
        <v>3234</v>
      </c>
      <c r="B80" s="812" t="str">
        <f>IF('Part VI-Revenues &amp; Expenses'!$N$62=0,"",'Part VI-Revenues &amp; Expenses'!$N$62)</f>
        <v/>
      </c>
      <c r="C80" s="785" t="s">
        <v>3237</v>
      </c>
      <c r="D80" s="813" t="s">
        <v>3404</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4075" t="s">
        <v>3239</v>
      </c>
      <c r="F83" s="4075"/>
      <c r="G83" s="4075"/>
      <c r="H83" s="4075"/>
    </row>
    <row r="84" spans="3:8" ht="12.75" customHeight="1">
      <c r="C84" s="1787" t="s">
        <v>4824</v>
      </c>
      <c r="E84" s="4075" t="s">
        <v>3400</v>
      </c>
      <c r="F84" s="4075"/>
      <c r="G84" s="4075"/>
      <c r="H84" s="4075"/>
    </row>
    <row r="85" spans="3:8" ht="12.75" customHeight="1">
      <c r="C85" s="1788"/>
      <c r="D85" s="1785" t="s">
        <v>3238</v>
      </c>
      <c r="E85" s="4142" t="s">
        <v>3401</v>
      </c>
      <c r="F85" s="4142"/>
      <c r="G85" s="4142"/>
      <c r="H85" s="4142"/>
    </row>
    <row r="86" spans="3:8" ht="3" customHeight="1">
      <c r="D86" s="814"/>
      <c r="E86" s="1784"/>
      <c r="F86" s="1784"/>
      <c r="G86" s="1784"/>
      <c r="H86" s="1784"/>
    </row>
    <row r="87" spans="3:8" ht="12.75" customHeight="1">
      <c r="C87" s="779" t="s">
        <v>3139</v>
      </c>
      <c r="D87" s="814" t="s">
        <v>1939</v>
      </c>
      <c r="E87" s="815"/>
      <c r="F87" s="811" t="s">
        <v>3140</v>
      </c>
      <c r="G87" s="811"/>
      <c r="H87" s="811"/>
    </row>
    <row r="88" spans="3:8" ht="12.75" customHeight="1">
      <c r="C88" s="816" t="s">
        <v>1326</v>
      </c>
      <c r="D88" s="814" t="s">
        <v>1941</v>
      </c>
      <c r="E88" s="4075" t="s">
        <v>3239</v>
      </c>
      <c r="F88" s="4075"/>
      <c r="G88" s="4075"/>
      <c r="H88" s="4075"/>
    </row>
    <row r="89" spans="3:8" ht="12.75" customHeight="1">
      <c r="C89" s="1787" t="s">
        <v>4824</v>
      </c>
      <c r="E89" s="4075" t="s">
        <v>3400</v>
      </c>
      <c r="F89" s="4075"/>
      <c r="G89" s="4075"/>
      <c r="H89" s="4075"/>
    </row>
    <row r="90" spans="3:8" ht="12.75" customHeight="1">
      <c r="C90" s="1788"/>
      <c r="D90" s="1786" t="s">
        <v>3238</v>
      </c>
      <c r="E90" s="4141" t="s">
        <v>3401</v>
      </c>
      <c r="F90" s="4141"/>
      <c r="G90" s="4141"/>
      <c r="H90" s="4141"/>
    </row>
    <row r="91" spans="3:8" ht="3" customHeight="1">
      <c r="D91" s="814"/>
      <c r="E91" s="1784"/>
      <c r="F91" s="1784"/>
      <c r="G91" s="1784"/>
      <c r="H91" s="1784"/>
    </row>
    <row r="92" spans="3:8" ht="12.75" customHeight="1">
      <c r="C92" s="779" t="s">
        <v>3139</v>
      </c>
      <c r="D92" s="814" t="s">
        <v>1939</v>
      </c>
      <c r="E92" s="815"/>
      <c r="F92" s="811" t="s">
        <v>3140</v>
      </c>
      <c r="G92" s="811"/>
      <c r="H92" s="811"/>
    </row>
    <row r="93" spans="3:8" ht="12.75" customHeight="1">
      <c r="C93" s="816" t="s">
        <v>1326</v>
      </c>
      <c r="D93" s="814" t="s">
        <v>1941</v>
      </c>
      <c r="E93" s="4075" t="s">
        <v>3239</v>
      </c>
      <c r="F93" s="4075"/>
      <c r="G93" s="4075"/>
      <c r="H93" s="4075"/>
    </row>
    <row r="94" spans="3:8" ht="12.75" customHeight="1">
      <c r="C94" s="1787" t="s">
        <v>4824</v>
      </c>
      <c r="E94" s="4075" t="s">
        <v>3400</v>
      </c>
      <c r="F94" s="4075"/>
      <c r="G94" s="4075"/>
      <c r="H94" s="4075"/>
    </row>
    <row r="95" spans="3:8" ht="12.75" customHeight="1">
      <c r="C95" s="1788"/>
      <c r="D95" s="1786" t="s">
        <v>3238</v>
      </c>
      <c r="E95" s="4141" t="s">
        <v>3401</v>
      </c>
      <c r="F95" s="4141"/>
      <c r="G95" s="4141"/>
      <c r="H95" s="4141"/>
    </row>
    <row r="96" spans="3:8" ht="6" customHeight="1">
      <c r="D96" s="814"/>
      <c r="E96" s="1784"/>
      <c r="F96" s="1784"/>
      <c r="G96" s="1784"/>
      <c r="H96" s="1784"/>
    </row>
    <row r="97" spans="1:11">
      <c r="A97" s="785" t="s">
        <v>3234</v>
      </c>
      <c r="B97" s="812" t="str">
        <f>IF('Part VI-Revenues &amp; Expenses'!$O$62=0,"",'Part VI-Revenues &amp; Expenses'!$O$62)</f>
        <v/>
      </c>
      <c r="C97" s="785" t="s">
        <v>4822</v>
      </c>
      <c r="D97" s="813" t="s">
        <v>4823</v>
      </c>
    </row>
    <row r="98" spans="1:11" ht="1.95" customHeight="1"/>
    <row r="99" spans="1:11" ht="12.75" customHeight="1">
      <c r="C99" s="779" t="s">
        <v>3139</v>
      </c>
      <c r="D99" s="814" t="s">
        <v>1939</v>
      </c>
      <c r="E99" s="815"/>
      <c r="F99" s="4075" t="s">
        <v>3140</v>
      </c>
      <c r="G99" s="4075"/>
      <c r="H99" s="4075"/>
      <c r="K99" s="730" t="s">
        <v>238</v>
      </c>
    </row>
    <row r="100" spans="1:11" ht="12.75" customHeight="1">
      <c r="C100" s="816" t="s">
        <v>1326</v>
      </c>
      <c r="D100" s="814" t="s">
        <v>1941</v>
      </c>
      <c r="E100" s="4075" t="s">
        <v>3240</v>
      </c>
      <c r="F100" s="4075"/>
      <c r="G100" s="4075"/>
      <c r="H100" s="4075"/>
    </row>
    <row r="101" spans="1:11" ht="12.75" customHeight="1">
      <c r="E101" s="4075" t="s">
        <v>3400</v>
      </c>
      <c r="F101" s="4075"/>
      <c r="G101" s="4075"/>
      <c r="H101" s="4075"/>
    </row>
    <row r="102" spans="1:11" ht="12.75" customHeight="1">
      <c r="D102" s="817" t="s">
        <v>3238</v>
      </c>
      <c r="E102" s="4075" t="s">
        <v>3401</v>
      </c>
      <c r="F102" s="4075"/>
      <c r="G102" s="4075"/>
      <c r="H102" s="4075"/>
    </row>
    <row r="103" spans="1:11" ht="9" customHeight="1" thickBot="1"/>
    <row r="104" spans="1:11" ht="16.2" customHeight="1" thickBot="1">
      <c r="A104" s="4139">
        <v>30</v>
      </c>
      <c r="B104" s="4140"/>
      <c r="C104" s="1789" t="s">
        <v>1018</v>
      </c>
    </row>
    <row r="105" spans="1:11" ht="9" customHeight="1">
      <c r="A105" s="752"/>
    </row>
    <row r="106" spans="1:11" ht="28.2" customHeight="1">
      <c r="A106" s="4143" t="s">
        <v>4827</v>
      </c>
      <c r="B106" s="4143"/>
      <c r="C106" s="4143"/>
      <c r="D106" s="4143"/>
      <c r="E106" s="4143"/>
      <c r="F106" s="4143"/>
      <c r="G106" s="4143"/>
      <c r="H106" s="4143"/>
    </row>
    <row r="107" spans="1:11" ht="9" customHeight="1">
      <c r="A107" s="752"/>
    </row>
    <row r="108" spans="1:11">
      <c r="A108" s="785" t="s">
        <v>3234</v>
      </c>
      <c r="B108" s="812" t="str">
        <f>IF('Part VI-Revenues &amp; Expenses'!$K$61=0,"",'Part VI-Revenues &amp; Expenses'!$K$61)</f>
        <v/>
      </c>
      <c r="C108" s="785" t="s">
        <v>4819</v>
      </c>
      <c r="D108" s="813" t="s">
        <v>4820</v>
      </c>
    </row>
    <row r="109" spans="1:11" ht="1.95" customHeight="1"/>
    <row r="110" spans="1:11" ht="12.75" customHeight="1">
      <c r="C110" s="779" t="s">
        <v>3139</v>
      </c>
      <c r="D110" s="814" t="s">
        <v>1939</v>
      </c>
      <c r="E110" s="815"/>
      <c r="F110" s="4075" t="s">
        <v>3140</v>
      </c>
      <c r="G110" s="4075"/>
      <c r="H110" s="4075"/>
    </row>
    <row r="111" spans="1:11" ht="12.75" customHeight="1">
      <c r="C111" s="816" t="s">
        <v>1326</v>
      </c>
      <c r="D111" s="814" t="s">
        <v>1941</v>
      </c>
      <c r="E111" s="4075" t="s">
        <v>3239</v>
      </c>
      <c r="F111" s="4075"/>
      <c r="G111" s="4075"/>
      <c r="H111" s="4075"/>
    </row>
    <row r="112" spans="1:11" ht="12.75" customHeight="1">
      <c r="C112" s="1787" t="s">
        <v>4824</v>
      </c>
      <c r="E112" s="4075" t="s">
        <v>3400</v>
      </c>
      <c r="F112" s="4075"/>
      <c r="G112" s="4075"/>
      <c r="H112" s="4075"/>
    </row>
    <row r="113" spans="1:8" ht="12.75" customHeight="1">
      <c r="C113" s="1788"/>
      <c r="D113" s="1786" t="s">
        <v>3238</v>
      </c>
      <c r="E113" s="4141" t="s">
        <v>3401</v>
      </c>
      <c r="F113" s="4141"/>
      <c r="G113" s="4141"/>
      <c r="H113" s="4141"/>
    </row>
    <row r="114" spans="1:8" ht="3" customHeight="1">
      <c r="D114" s="814"/>
      <c r="E114" s="1784"/>
      <c r="F114" s="1784"/>
      <c r="G114" s="1784"/>
      <c r="H114" s="1784"/>
    </row>
    <row r="115" spans="1:8" ht="12.75" customHeight="1">
      <c r="C115" s="779" t="s">
        <v>3139</v>
      </c>
      <c r="D115" s="814" t="s">
        <v>1939</v>
      </c>
      <c r="E115" s="815"/>
      <c r="F115" s="811" t="s">
        <v>3140</v>
      </c>
      <c r="G115" s="811"/>
      <c r="H115" s="811"/>
    </row>
    <row r="116" spans="1:8" ht="12.75" customHeight="1">
      <c r="C116" s="816" t="s">
        <v>1326</v>
      </c>
      <c r="D116" s="814" t="s">
        <v>1941</v>
      </c>
      <c r="E116" s="4075" t="s">
        <v>3239</v>
      </c>
      <c r="F116" s="4075"/>
      <c r="G116" s="4075"/>
      <c r="H116" s="4075"/>
    </row>
    <row r="117" spans="1:8" ht="12.75" customHeight="1">
      <c r="C117" s="1787" t="s">
        <v>4824</v>
      </c>
      <c r="E117" s="4075" t="s">
        <v>3400</v>
      </c>
      <c r="F117" s="4075"/>
      <c r="G117" s="4075"/>
      <c r="H117" s="4075"/>
    </row>
    <row r="118" spans="1:8" ht="12.75" customHeight="1">
      <c r="C118" s="1788"/>
      <c r="D118" s="1786" t="s">
        <v>3238</v>
      </c>
      <c r="E118" s="4141" t="s">
        <v>3401</v>
      </c>
      <c r="F118" s="4141"/>
      <c r="G118" s="4141"/>
      <c r="H118" s="4141"/>
    </row>
    <row r="119" spans="1:8" ht="3" customHeight="1">
      <c r="D119" s="814"/>
      <c r="E119" s="1784"/>
      <c r="F119" s="1784"/>
      <c r="G119" s="1784"/>
      <c r="H119" s="1784"/>
    </row>
    <row r="120" spans="1:8" ht="12.75" customHeight="1">
      <c r="C120" s="779" t="s">
        <v>3139</v>
      </c>
      <c r="D120" s="814" t="s">
        <v>1939</v>
      </c>
      <c r="E120" s="815"/>
      <c r="F120" s="811" t="s">
        <v>3140</v>
      </c>
      <c r="G120" s="811"/>
      <c r="H120" s="811"/>
    </row>
    <row r="121" spans="1:8" ht="12.75" customHeight="1">
      <c r="C121" s="816" t="s">
        <v>1326</v>
      </c>
      <c r="D121" s="814" t="s">
        <v>1941</v>
      </c>
      <c r="E121" s="4075" t="s">
        <v>3239</v>
      </c>
      <c r="F121" s="4075"/>
      <c r="G121" s="4075"/>
      <c r="H121" s="4075"/>
    </row>
    <row r="122" spans="1:8" ht="12.75" customHeight="1">
      <c r="C122" s="1787" t="s">
        <v>4824</v>
      </c>
      <c r="E122" s="4075" t="s">
        <v>3400</v>
      </c>
      <c r="F122" s="4075"/>
      <c r="G122" s="4075"/>
      <c r="H122" s="4075"/>
    </row>
    <row r="123" spans="1:8" ht="12.75" customHeight="1">
      <c r="C123" s="1788"/>
      <c r="D123" s="1786" t="s">
        <v>3238</v>
      </c>
      <c r="E123" s="4141" t="s">
        <v>3401</v>
      </c>
      <c r="F123" s="4141"/>
      <c r="G123" s="4141"/>
      <c r="H123" s="4141"/>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3402</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4075" t="s">
        <v>3239</v>
      </c>
      <c r="F128" s="4075"/>
      <c r="G128" s="4075"/>
      <c r="H128" s="4075"/>
    </row>
    <row r="129" spans="1:8" ht="12.75" customHeight="1">
      <c r="C129" s="1787" t="s">
        <v>4824</v>
      </c>
      <c r="E129" s="4075" t="s">
        <v>3400</v>
      </c>
      <c r="F129" s="4075"/>
      <c r="G129" s="4075"/>
      <c r="H129" s="4075"/>
    </row>
    <row r="130" spans="1:8" ht="12.75" customHeight="1">
      <c r="C130" s="1788"/>
      <c r="D130" s="1785" t="s">
        <v>3238</v>
      </c>
      <c r="E130" s="4142" t="s">
        <v>3401</v>
      </c>
      <c r="F130" s="4142"/>
      <c r="G130" s="4142"/>
      <c r="H130" s="4142"/>
    </row>
    <row r="131" spans="1:8" ht="3" customHeight="1">
      <c r="D131" s="814"/>
      <c r="E131" s="1784"/>
      <c r="F131" s="1784"/>
      <c r="G131" s="1784"/>
      <c r="H131" s="1784"/>
    </row>
    <row r="132" spans="1:8" ht="12.75" customHeight="1">
      <c r="C132" s="779" t="s">
        <v>3139</v>
      </c>
      <c r="D132" s="814" t="s">
        <v>1939</v>
      </c>
      <c r="E132" s="815"/>
      <c r="F132" s="811" t="s">
        <v>3140</v>
      </c>
      <c r="G132" s="811"/>
      <c r="H132" s="811"/>
    </row>
    <row r="133" spans="1:8" ht="12.75" customHeight="1">
      <c r="C133" s="816" t="s">
        <v>1326</v>
      </c>
      <c r="D133" s="814" t="s">
        <v>1941</v>
      </c>
      <c r="E133" s="4075" t="s">
        <v>3239</v>
      </c>
      <c r="F133" s="4075"/>
      <c r="G133" s="4075"/>
      <c r="H133" s="4075"/>
    </row>
    <row r="134" spans="1:8" ht="12.75" customHeight="1">
      <c r="C134" s="1787" t="s">
        <v>4824</v>
      </c>
      <c r="E134" s="4075" t="s">
        <v>3400</v>
      </c>
      <c r="F134" s="4075"/>
      <c r="G134" s="4075"/>
      <c r="H134" s="4075"/>
    </row>
    <row r="135" spans="1:8" ht="12.75" customHeight="1">
      <c r="C135" s="1788"/>
      <c r="D135" s="1786" t="s">
        <v>3238</v>
      </c>
      <c r="E135" s="4141" t="s">
        <v>3401</v>
      </c>
      <c r="F135" s="4141"/>
      <c r="G135" s="4141"/>
      <c r="H135" s="4141"/>
    </row>
    <row r="136" spans="1:8" ht="3" customHeight="1">
      <c r="D136" s="814"/>
      <c r="E136" s="1784"/>
      <c r="F136" s="1784"/>
      <c r="G136" s="1784"/>
      <c r="H136" s="1784"/>
    </row>
    <row r="137" spans="1:8" ht="12.75" customHeight="1">
      <c r="C137" s="779" t="s">
        <v>3139</v>
      </c>
      <c r="D137" s="814" t="s">
        <v>1939</v>
      </c>
      <c r="E137" s="815"/>
      <c r="F137" s="811" t="s">
        <v>3140</v>
      </c>
      <c r="G137" s="811"/>
      <c r="H137" s="811"/>
    </row>
    <row r="138" spans="1:8" ht="12.75" customHeight="1">
      <c r="C138" s="816" t="s">
        <v>1326</v>
      </c>
      <c r="D138" s="814" t="s">
        <v>1941</v>
      </c>
      <c r="E138" s="4075" t="s">
        <v>3239</v>
      </c>
      <c r="F138" s="4075"/>
      <c r="G138" s="4075"/>
      <c r="H138" s="4075"/>
    </row>
    <row r="139" spans="1:8" ht="12.75" customHeight="1">
      <c r="C139" s="1787" t="s">
        <v>4824</v>
      </c>
      <c r="E139" s="4075" t="s">
        <v>3400</v>
      </c>
      <c r="F139" s="4075"/>
      <c r="G139" s="4075"/>
      <c r="H139" s="4075"/>
    </row>
    <row r="140" spans="1:8" ht="12.75" customHeight="1">
      <c r="C140" s="1788"/>
      <c r="D140" s="1786" t="s">
        <v>3238</v>
      </c>
      <c r="E140" s="4141" t="s">
        <v>3401</v>
      </c>
      <c r="F140" s="4141"/>
      <c r="G140" s="4141"/>
      <c r="H140" s="4141"/>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3403</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4075" t="s">
        <v>3239</v>
      </c>
      <c r="F145" s="4075"/>
      <c r="G145" s="4075"/>
      <c r="H145" s="4075"/>
    </row>
    <row r="146" spans="1:8" ht="12.75" customHeight="1">
      <c r="C146" s="1787" t="s">
        <v>4824</v>
      </c>
      <c r="E146" s="4075" t="s">
        <v>3400</v>
      </c>
      <c r="F146" s="4075"/>
      <c r="G146" s="4075"/>
      <c r="H146" s="4075"/>
    </row>
    <row r="147" spans="1:8" ht="12.75" customHeight="1">
      <c r="C147" s="1788"/>
      <c r="D147" s="1785" t="s">
        <v>3238</v>
      </c>
      <c r="E147" s="4142" t="s">
        <v>3401</v>
      </c>
      <c r="F147" s="4142"/>
      <c r="G147" s="4142"/>
      <c r="H147" s="4142"/>
    </row>
    <row r="148" spans="1:8" ht="3" customHeight="1">
      <c r="D148" s="814"/>
      <c r="E148" s="1784"/>
      <c r="F148" s="1784"/>
      <c r="G148" s="1784"/>
      <c r="H148" s="1784"/>
    </row>
    <row r="149" spans="1:8" ht="12.75" customHeight="1">
      <c r="C149" s="779" t="s">
        <v>3139</v>
      </c>
      <c r="D149" s="814" t="s">
        <v>1939</v>
      </c>
      <c r="E149" s="815"/>
      <c r="F149" s="811" t="s">
        <v>3140</v>
      </c>
      <c r="G149" s="811"/>
      <c r="H149" s="811"/>
    </row>
    <row r="150" spans="1:8" ht="12.75" customHeight="1">
      <c r="C150" s="816" t="s">
        <v>1326</v>
      </c>
      <c r="D150" s="814" t="s">
        <v>1941</v>
      </c>
      <c r="E150" s="4075" t="s">
        <v>3239</v>
      </c>
      <c r="F150" s="4075"/>
      <c r="G150" s="4075"/>
      <c r="H150" s="4075"/>
    </row>
    <row r="151" spans="1:8" ht="12.75" customHeight="1">
      <c r="C151" s="1787" t="s">
        <v>4824</v>
      </c>
      <c r="E151" s="4075" t="s">
        <v>3400</v>
      </c>
      <c r="F151" s="4075"/>
      <c r="G151" s="4075"/>
      <c r="H151" s="4075"/>
    </row>
    <row r="152" spans="1:8" ht="12.75" customHeight="1">
      <c r="C152" s="1788"/>
      <c r="D152" s="1786" t="s">
        <v>3238</v>
      </c>
      <c r="E152" s="4141" t="s">
        <v>3401</v>
      </c>
      <c r="F152" s="4141"/>
      <c r="G152" s="4141"/>
      <c r="H152" s="4141"/>
    </row>
    <row r="153" spans="1:8" ht="3" customHeight="1">
      <c r="D153" s="814"/>
      <c r="E153" s="1784"/>
      <c r="F153" s="1784"/>
      <c r="G153" s="1784"/>
      <c r="H153" s="1784"/>
    </row>
    <row r="154" spans="1:8" ht="12.75" customHeight="1">
      <c r="C154" s="779" t="s">
        <v>3139</v>
      </c>
      <c r="D154" s="814" t="s">
        <v>1939</v>
      </c>
      <c r="E154" s="815"/>
      <c r="F154" s="811" t="s">
        <v>3140</v>
      </c>
      <c r="G154" s="811"/>
      <c r="H154" s="811"/>
    </row>
    <row r="155" spans="1:8" ht="12.75" customHeight="1">
      <c r="C155" s="816" t="s">
        <v>1326</v>
      </c>
      <c r="D155" s="814" t="s">
        <v>1941</v>
      </c>
      <c r="E155" s="4075" t="s">
        <v>3239</v>
      </c>
      <c r="F155" s="4075"/>
      <c r="G155" s="4075"/>
      <c r="H155" s="4075"/>
    </row>
    <row r="156" spans="1:8" ht="12.75" customHeight="1">
      <c r="C156" s="1787" t="s">
        <v>4824</v>
      </c>
      <c r="E156" s="4075" t="s">
        <v>3400</v>
      </c>
      <c r="F156" s="4075"/>
      <c r="G156" s="4075"/>
      <c r="H156" s="4075"/>
    </row>
    <row r="157" spans="1:8" ht="12.75" customHeight="1">
      <c r="C157" s="1788"/>
      <c r="D157" s="1786" t="s">
        <v>3238</v>
      </c>
      <c r="E157" s="4141" t="s">
        <v>3401</v>
      </c>
      <c r="F157" s="4141"/>
      <c r="G157" s="4141"/>
      <c r="H157" s="4141"/>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3404</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4075" t="s">
        <v>3239</v>
      </c>
      <c r="F162" s="4075"/>
      <c r="G162" s="4075"/>
      <c r="H162" s="4075"/>
    </row>
    <row r="163" spans="1:8" ht="12.75" customHeight="1">
      <c r="C163" s="1787" t="s">
        <v>4824</v>
      </c>
      <c r="E163" s="4075" t="s">
        <v>3400</v>
      </c>
      <c r="F163" s="4075"/>
      <c r="G163" s="4075"/>
      <c r="H163" s="4075"/>
    </row>
    <row r="164" spans="1:8" ht="12.75" customHeight="1">
      <c r="C164" s="1788"/>
      <c r="D164" s="1785" t="s">
        <v>3238</v>
      </c>
      <c r="E164" s="4142" t="s">
        <v>3401</v>
      </c>
      <c r="F164" s="4142"/>
      <c r="G164" s="4142"/>
      <c r="H164" s="4142"/>
    </row>
    <row r="165" spans="1:8" ht="3" customHeight="1">
      <c r="D165" s="814"/>
      <c r="E165" s="1784"/>
      <c r="F165" s="1784"/>
      <c r="G165" s="1784"/>
      <c r="H165" s="1784"/>
    </row>
    <row r="166" spans="1:8" ht="12.75" customHeight="1">
      <c r="C166" s="779" t="s">
        <v>3139</v>
      </c>
      <c r="D166" s="814" t="s">
        <v>1939</v>
      </c>
      <c r="E166" s="815"/>
      <c r="F166" s="811" t="s">
        <v>3140</v>
      </c>
      <c r="G166" s="811"/>
      <c r="H166" s="811"/>
    </row>
    <row r="167" spans="1:8" ht="12.75" customHeight="1">
      <c r="C167" s="816" t="s">
        <v>1326</v>
      </c>
      <c r="D167" s="814" t="s">
        <v>1941</v>
      </c>
      <c r="E167" s="4075" t="s">
        <v>3239</v>
      </c>
      <c r="F167" s="4075"/>
      <c r="G167" s="4075"/>
      <c r="H167" s="4075"/>
    </row>
    <row r="168" spans="1:8" ht="12.75" customHeight="1">
      <c r="C168" s="1787" t="s">
        <v>4824</v>
      </c>
      <c r="E168" s="4075" t="s">
        <v>3400</v>
      </c>
      <c r="F168" s="4075"/>
      <c r="G168" s="4075"/>
      <c r="H168" s="4075"/>
    </row>
    <row r="169" spans="1:8" ht="12.75" customHeight="1">
      <c r="C169" s="1788"/>
      <c r="D169" s="1786" t="s">
        <v>3238</v>
      </c>
      <c r="E169" s="4141" t="s">
        <v>3401</v>
      </c>
      <c r="F169" s="4141"/>
      <c r="G169" s="4141"/>
      <c r="H169" s="4141"/>
    </row>
    <row r="170" spans="1:8" ht="3" customHeight="1">
      <c r="D170" s="814"/>
      <c r="E170" s="1784"/>
      <c r="F170" s="1784"/>
      <c r="G170" s="1784"/>
      <c r="H170" s="1784"/>
    </row>
    <row r="171" spans="1:8" ht="12.75" customHeight="1">
      <c r="C171" s="779" t="s">
        <v>3139</v>
      </c>
      <c r="D171" s="814" t="s">
        <v>1939</v>
      </c>
      <c r="E171" s="815"/>
      <c r="F171" s="811" t="s">
        <v>3140</v>
      </c>
      <c r="G171" s="811"/>
      <c r="H171" s="811"/>
    </row>
    <row r="172" spans="1:8" ht="12.75" customHeight="1">
      <c r="C172" s="816" t="s">
        <v>1326</v>
      </c>
      <c r="D172" s="814" t="s">
        <v>1941</v>
      </c>
      <c r="E172" s="4075" t="s">
        <v>3239</v>
      </c>
      <c r="F172" s="4075"/>
      <c r="G172" s="4075"/>
      <c r="H172" s="4075"/>
    </row>
    <row r="173" spans="1:8" ht="12.75" customHeight="1">
      <c r="C173" s="1787" t="s">
        <v>4824</v>
      </c>
      <c r="E173" s="4075" t="s">
        <v>3400</v>
      </c>
      <c r="F173" s="4075"/>
      <c r="G173" s="4075"/>
      <c r="H173" s="4075"/>
    </row>
    <row r="174" spans="1:8" ht="12.75" customHeight="1">
      <c r="C174" s="1788"/>
      <c r="D174" s="1786" t="s">
        <v>3238</v>
      </c>
      <c r="E174" s="4141" t="s">
        <v>3401</v>
      </c>
      <c r="F174" s="4141"/>
      <c r="G174" s="4141"/>
      <c r="H174" s="4141"/>
    </row>
    <row r="175" spans="1:8" ht="6" customHeight="1">
      <c r="D175" s="814"/>
      <c r="E175" s="1784"/>
      <c r="F175" s="1784"/>
      <c r="G175" s="1784"/>
      <c r="H175" s="1784"/>
    </row>
    <row r="176" spans="1:8">
      <c r="A176" s="785" t="s">
        <v>3234</v>
      </c>
      <c r="B176" s="812" t="str">
        <f>IF('Part VI-Revenues &amp; Expenses'!$O61=0,"",'Part VI-Revenues &amp; Expenses'!$O$61)</f>
        <v/>
      </c>
      <c r="C176" s="785" t="s">
        <v>4822</v>
      </c>
      <c r="D176" s="813" t="s">
        <v>4823</v>
      </c>
    </row>
    <row r="177" spans="1:11" ht="1.95" customHeight="1"/>
    <row r="178" spans="1:11" ht="12.75" customHeight="1">
      <c r="C178" s="779" t="s">
        <v>3139</v>
      </c>
      <c r="D178" s="814" t="s">
        <v>1939</v>
      </c>
      <c r="E178" s="815"/>
      <c r="F178" s="4075" t="s">
        <v>3140</v>
      </c>
      <c r="G178" s="4075"/>
      <c r="H178" s="4075"/>
      <c r="K178" s="730" t="s">
        <v>238</v>
      </c>
    </row>
    <row r="179" spans="1:11" ht="12.75" customHeight="1">
      <c r="C179" s="816" t="s">
        <v>1326</v>
      </c>
      <c r="D179" s="814" t="s">
        <v>1941</v>
      </c>
      <c r="E179" s="4075" t="s">
        <v>3240</v>
      </c>
      <c r="F179" s="4075"/>
      <c r="G179" s="4075"/>
      <c r="H179" s="4075"/>
    </row>
    <row r="180" spans="1:11" ht="12.75" customHeight="1">
      <c r="E180" s="4075" t="s">
        <v>3400</v>
      </c>
      <c r="F180" s="4075"/>
      <c r="G180" s="4075"/>
      <c r="H180" s="4075"/>
    </row>
    <row r="181" spans="1:11" ht="12.75" customHeight="1">
      <c r="D181" s="817" t="s">
        <v>3238</v>
      </c>
      <c r="E181" s="4075" t="s">
        <v>3401</v>
      </c>
      <c r="F181" s="4075"/>
      <c r="G181" s="4075"/>
      <c r="H181" s="4075"/>
    </row>
    <row r="182" spans="1:11" ht="9" customHeight="1" thickBot="1"/>
    <row r="183" spans="1:11" ht="16.2" customHeight="1" thickBot="1">
      <c r="A183" s="4139">
        <v>40</v>
      </c>
      <c r="B183" s="4140"/>
      <c r="C183" s="1789" t="s">
        <v>1018</v>
      </c>
    </row>
    <row r="184" spans="1:11" ht="9" customHeight="1">
      <c r="A184" s="752"/>
    </row>
    <row r="185" spans="1:11" ht="28.2" customHeight="1">
      <c r="A185" s="4143" t="s">
        <v>4828</v>
      </c>
      <c r="B185" s="4143"/>
      <c r="C185" s="4143"/>
      <c r="D185" s="4143"/>
      <c r="E185" s="4143"/>
      <c r="F185" s="4143"/>
      <c r="G185" s="4143"/>
      <c r="H185" s="4143"/>
    </row>
    <row r="186" spans="1:11" ht="9" customHeight="1">
      <c r="A186" s="752"/>
    </row>
    <row r="187" spans="1:11">
      <c r="A187" s="785" t="s">
        <v>3234</v>
      </c>
      <c r="B187" s="812" t="str">
        <f>IF('Part VI-Revenues &amp; Expenses'!$K$60=0,"",'Part VI-Revenues &amp; Expenses'!$K$60)</f>
        <v/>
      </c>
      <c r="C187" s="785" t="s">
        <v>4819</v>
      </c>
      <c r="D187" s="813" t="s">
        <v>4820</v>
      </c>
    </row>
    <row r="188" spans="1:11" ht="1.95" customHeight="1"/>
    <row r="189" spans="1:11" ht="12.75" customHeight="1">
      <c r="C189" s="779" t="s">
        <v>3139</v>
      </c>
      <c r="D189" s="814" t="s">
        <v>1939</v>
      </c>
      <c r="E189" s="815"/>
      <c r="F189" s="4075" t="s">
        <v>3140</v>
      </c>
      <c r="G189" s="4075"/>
      <c r="H189" s="4075"/>
    </row>
    <row r="190" spans="1:11" ht="12.75" customHeight="1">
      <c r="C190" s="816" t="s">
        <v>1326</v>
      </c>
      <c r="D190" s="814" t="s">
        <v>1941</v>
      </c>
      <c r="E190" s="4075" t="s">
        <v>3239</v>
      </c>
      <c r="F190" s="4075"/>
      <c r="G190" s="4075"/>
      <c r="H190" s="4075"/>
    </row>
    <row r="191" spans="1:11" ht="12.75" customHeight="1">
      <c r="C191" s="1787" t="s">
        <v>4824</v>
      </c>
      <c r="E191" s="4075" t="s">
        <v>3400</v>
      </c>
      <c r="F191" s="4075"/>
      <c r="G191" s="4075"/>
      <c r="H191" s="4075"/>
    </row>
    <row r="192" spans="1:11" ht="12.75" customHeight="1">
      <c r="C192" s="1788"/>
      <c r="D192" s="1786" t="s">
        <v>3238</v>
      </c>
      <c r="E192" s="4141" t="s">
        <v>3401</v>
      </c>
      <c r="F192" s="4141"/>
      <c r="G192" s="4141"/>
      <c r="H192" s="4141"/>
    </row>
    <row r="193" spans="1:8" ht="3" customHeight="1">
      <c r="D193" s="814"/>
      <c r="E193" s="1784"/>
      <c r="F193" s="1784"/>
      <c r="G193" s="1784"/>
      <c r="H193" s="1784"/>
    </row>
    <row r="194" spans="1:8" ht="12.75" customHeight="1">
      <c r="C194" s="779" t="s">
        <v>3139</v>
      </c>
      <c r="D194" s="814" t="s">
        <v>1939</v>
      </c>
      <c r="E194" s="815"/>
      <c r="F194" s="811" t="s">
        <v>3140</v>
      </c>
      <c r="G194" s="811"/>
      <c r="H194" s="811"/>
    </row>
    <row r="195" spans="1:8" ht="12.75" customHeight="1">
      <c r="C195" s="816" t="s">
        <v>1326</v>
      </c>
      <c r="D195" s="814" t="s">
        <v>1941</v>
      </c>
      <c r="E195" s="4075" t="s">
        <v>3239</v>
      </c>
      <c r="F195" s="4075"/>
      <c r="G195" s="4075"/>
      <c r="H195" s="4075"/>
    </row>
    <row r="196" spans="1:8" ht="12.75" customHeight="1">
      <c r="C196" s="1787" t="s">
        <v>4824</v>
      </c>
      <c r="E196" s="4075" t="s">
        <v>3400</v>
      </c>
      <c r="F196" s="4075"/>
      <c r="G196" s="4075"/>
      <c r="H196" s="4075"/>
    </row>
    <row r="197" spans="1:8" ht="12.75" customHeight="1">
      <c r="C197" s="1788"/>
      <c r="D197" s="1786" t="s">
        <v>3238</v>
      </c>
      <c r="E197" s="4141" t="s">
        <v>3401</v>
      </c>
      <c r="F197" s="4141"/>
      <c r="G197" s="4141"/>
      <c r="H197" s="4141"/>
    </row>
    <row r="198" spans="1:8" ht="3" customHeight="1">
      <c r="D198" s="814"/>
      <c r="E198" s="1784"/>
      <c r="F198" s="1784"/>
      <c r="G198" s="1784"/>
      <c r="H198" s="1784"/>
    </row>
    <row r="199" spans="1:8" ht="12.75" customHeight="1">
      <c r="C199" s="779" t="s">
        <v>3139</v>
      </c>
      <c r="D199" s="814" t="s">
        <v>1939</v>
      </c>
      <c r="E199" s="815"/>
      <c r="F199" s="811" t="s">
        <v>3140</v>
      </c>
      <c r="G199" s="811"/>
      <c r="H199" s="811"/>
    </row>
    <row r="200" spans="1:8" ht="12.75" customHeight="1">
      <c r="C200" s="816" t="s">
        <v>1326</v>
      </c>
      <c r="D200" s="814" t="s">
        <v>1941</v>
      </c>
      <c r="E200" s="4075" t="s">
        <v>3239</v>
      </c>
      <c r="F200" s="4075"/>
      <c r="G200" s="4075"/>
      <c r="H200" s="4075"/>
    </row>
    <row r="201" spans="1:8" ht="12.75" customHeight="1">
      <c r="C201" s="1787" t="s">
        <v>4824</v>
      </c>
      <c r="E201" s="4075" t="s">
        <v>3400</v>
      </c>
      <c r="F201" s="4075"/>
      <c r="G201" s="4075"/>
      <c r="H201" s="4075"/>
    </row>
    <row r="202" spans="1:8" ht="12.75" customHeight="1">
      <c r="C202" s="1788"/>
      <c r="D202" s="1786" t="s">
        <v>3238</v>
      </c>
      <c r="E202" s="4141" t="s">
        <v>3401</v>
      </c>
      <c r="F202" s="4141"/>
      <c r="G202" s="4141"/>
      <c r="H202" s="4141"/>
    </row>
    <row r="203" spans="1:8" ht="6" customHeight="1">
      <c r="D203" s="814"/>
      <c r="E203" s="1784"/>
      <c r="F203" s="1784"/>
      <c r="G203" s="1784"/>
      <c r="H203" s="1784"/>
    </row>
    <row r="204" spans="1:8">
      <c r="A204" s="785" t="s">
        <v>3234</v>
      </c>
      <c r="B204" s="812" t="str">
        <f>IF('Part VI-Revenues &amp; Expenses'!$L$60=0,"",'Part VI-Revenues &amp; Expenses'!$L$60)</f>
        <v/>
      </c>
      <c r="C204" s="785" t="s">
        <v>3235</v>
      </c>
      <c r="D204" s="813" t="s">
        <v>3402</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4075" t="s">
        <v>3239</v>
      </c>
      <c r="F207" s="4075"/>
      <c r="G207" s="4075"/>
      <c r="H207" s="4075"/>
    </row>
    <row r="208" spans="1:8" ht="12.75" customHeight="1">
      <c r="C208" s="1787" t="s">
        <v>4824</v>
      </c>
      <c r="E208" s="4075" t="s">
        <v>3400</v>
      </c>
      <c r="F208" s="4075"/>
      <c r="G208" s="4075"/>
      <c r="H208" s="4075"/>
    </row>
    <row r="209" spans="1:8" ht="12.75" customHeight="1">
      <c r="C209" s="1788"/>
      <c r="D209" s="1785" t="s">
        <v>3238</v>
      </c>
      <c r="E209" s="4142" t="s">
        <v>3401</v>
      </c>
      <c r="F209" s="4142"/>
      <c r="G209" s="4142"/>
      <c r="H209" s="4142"/>
    </row>
    <row r="210" spans="1:8" ht="3" customHeight="1">
      <c r="D210" s="814"/>
      <c r="E210" s="1784"/>
      <c r="F210" s="1784"/>
      <c r="G210" s="1784"/>
      <c r="H210" s="1784"/>
    </row>
    <row r="211" spans="1:8" ht="12.75" customHeight="1">
      <c r="C211" s="779" t="s">
        <v>3139</v>
      </c>
      <c r="D211" s="814" t="s">
        <v>1939</v>
      </c>
      <c r="E211" s="815"/>
      <c r="F211" s="811" t="s">
        <v>3140</v>
      </c>
      <c r="G211" s="811"/>
      <c r="H211" s="811"/>
    </row>
    <row r="212" spans="1:8" ht="12.75" customHeight="1">
      <c r="C212" s="816" t="s">
        <v>1326</v>
      </c>
      <c r="D212" s="814" t="s">
        <v>1941</v>
      </c>
      <c r="E212" s="4075" t="s">
        <v>3239</v>
      </c>
      <c r="F212" s="4075"/>
      <c r="G212" s="4075"/>
      <c r="H212" s="4075"/>
    </row>
    <row r="213" spans="1:8" ht="12.75" customHeight="1">
      <c r="C213" s="1787" t="s">
        <v>4824</v>
      </c>
      <c r="E213" s="4075" t="s">
        <v>3400</v>
      </c>
      <c r="F213" s="4075"/>
      <c r="G213" s="4075"/>
      <c r="H213" s="4075"/>
    </row>
    <row r="214" spans="1:8" ht="12.75" customHeight="1">
      <c r="C214" s="1788"/>
      <c r="D214" s="1786" t="s">
        <v>3238</v>
      </c>
      <c r="E214" s="4141" t="s">
        <v>3401</v>
      </c>
      <c r="F214" s="4141"/>
      <c r="G214" s="4141"/>
      <c r="H214" s="4141"/>
    </row>
    <row r="215" spans="1:8" ht="3" customHeight="1">
      <c r="D215" s="814"/>
      <c r="E215" s="1784"/>
      <c r="F215" s="1784"/>
      <c r="G215" s="1784"/>
      <c r="H215" s="1784"/>
    </row>
    <row r="216" spans="1:8" ht="12.75" customHeight="1">
      <c r="C216" s="779" t="s">
        <v>3139</v>
      </c>
      <c r="D216" s="814" t="s">
        <v>1939</v>
      </c>
      <c r="E216" s="815"/>
      <c r="F216" s="811" t="s">
        <v>3140</v>
      </c>
      <c r="G216" s="811"/>
      <c r="H216" s="811"/>
    </row>
    <row r="217" spans="1:8" ht="12.75" customHeight="1">
      <c r="C217" s="816" t="s">
        <v>1326</v>
      </c>
      <c r="D217" s="814" t="s">
        <v>1941</v>
      </c>
      <c r="E217" s="4075" t="s">
        <v>3239</v>
      </c>
      <c r="F217" s="4075"/>
      <c r="G217" s="4075"/>
      <c r="H217" s="4075"/>
    </row>
    <row r="218" spans="1:8" ht="12.75" customHeight="1">
      <c r="C218" s="1787" t="s">
        <v>4824</v>
      </c>
      <c r="E218" s="4075" t="s">
        <v>3400</v>
      </c>
      <c r="F218" s="4075"/>
      <c r="G218" s="4075"/>
      <c r="H218" s="4075"/>
    </row>
    <row r="219" spans="1:8" ht="12.75" customHeight="1">
      <c r="C219" s="1788"/>
      <c r="D219" s="1786" t="s">
        <v>3238</v>
      </c>
      <c r="E219" s="4141" t="s">
        <v>3401</v>
      </c>
      <c r="F219" s="4141"/>
      <c r="G219" s="4141"/>
      <c r="H219" s="4141"/>
    </row>
    <row r="220" spans="1:8" ht="6" customHeight="1">
      <c r="D220" s="814"/>
      <c r="E220" s="1784"/>
      <c r="F220" s="1784"/>
      <c r="G220" s="1784"/>
      <c r="H220" s="1784"/>
    </row>
    <row r="221" spans="1:8">
      <c r="A221" s="785" t="s">
        <v>3234</v>
      </c>
      <c r="B221" s="812" t="str">
        <f>IF('Part VI-Revenues &amp; Expenses'!$M$60=0,"",'Part VI-Revenues &amp; Expenses'!$M$60)</f>
        <v/>
      </c>
      <c r="C221" s="785" t="s">
        <v>3236</v>
      </c>
      <c r="D221" s="813" t="s">
        <v>3403</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4075" t="s">
        <v>3239</v>
      </c>
      <c r="F224" s="4075"/>
      <c r="G224" s="4075"/>
      <c r="H224" s="4075"/>
    </row>
    <row r="225" spans="1:8" ht="12.75" customHeight="1">
      <c r="C225" s="1787" t="s">
        <v>4824</v>
      </c>
      <c r="E225" s="4075" t="s">
        <v>3400</v>
      </c>
      <c r="F225" s="4075"/>
      <c r="G225" s="4075"/>
      <c r="H225" s="4075"/>
    </row>
    <row r="226" spans="1:8" ht="12.75" customHeight="1">
      <c r="C226" s="1788"/>
      <c r="D226" s="1785" t="s">
        <v>3238</v>
      </c>
      <c r="E226" s="4142" t="s">
        <v>3401</v>
      </c>
      <c r="F226" s="4142"/>
      <c r="G226" s="4142"/>
      <c r="H226" s="4142"/>
    </row>
    <row r="227" spans="1:8" ht="3" customHeight="1">
      <c r="D227" s="814"/>
      <c r="E227" s="1784"/>
      <c r="F227" s="1784"/>
      <c r="G227" s="1784"/>
      <c r="H227" s="1784"/>
    </row>
    <row r="228" spans="1:8" ht="12.75" customHeight="1">
      <c r="C228" s="779" t="s">
        <v>3139</v>
      </c>
      <c r="D228" s="814" t="s">
        <v>1939</v>
      </c>
      <c r="E228" s="815"/>
      <c r="F228" s="811" t="s">
        <v>3140</v>
      </c>
      <c r="G228" s="811"/>
      <c r="H228" s="811"/>
    </row>
    <row r="229" spans="1:8" ht="12.75" customHeight="1">
      <c r="C229" s="816" t="s">
        <v>1326</v>
      </c>
      <c r="D229" s="814" t="s">
        <v>1941</v>
      </c>
      <c r="E229" s="4075" t="s">
        <v>3239</v>
      </c>
      <c r="F229" s="4075"/>
      <c r="G229" s="4075"/>
      <c r="H229" s="4075"/>
    </row>
    <row r="230" spans="1:8" ht="12.75" customHeight="1">
      <c r="C230" s="1787" t="s">
        <v>4824</v>
      </c>
      <c r="E230" s="4075" t="s">
        <v>3400</v>
      </c>
      <c r="F230" s="4075"/>
      <c r="G230" s="4075"/>
      <c r="H230" s="4075"/>
    </row>
    <row r="231" spans="1:8" ht="12.75" customHeight="1">
      <c r="C231" s="1788"/>
      <c r="D231" s="1786" t="s">
        <v>3238</v>
      </c>
      <c r="E231" s="4141" t="s">
        <v>3401</v>
      </c>
      <c r="F231" s="4141"/>
      <c r="G231" s="4141"/>
      <c r="H231" s="4141"/>
    </row>
    <row r="232" spans="1:8" ht="3" customHeight="1">
      <c r="D232" s="814"/>
      <c r="E232" s="1784"/>
      <c r="F232" s="1784"/>
      <c r="G232" s="1784"/>
      <c r="H232" s="1784"/>
    </row>
    <row r="233" spans="1:8" ht="12.75" customHeight="1">
      <c r="C233" s="779" t="s">
        <v>3139</v>
      </c>
      <c r="D233" s="814" t="s">
        <v>1939</v>
      </c>
      <c r="E233" s="815"/>
      <c r="F233" s="811" t="s">
        <v>3140</v>
      </c>
      <c r="G233" s="811"/>
      <c r="H233" s="811"/>
    </row>
    <row r="234" spans="1:8" ht="12.75" customHeight="1">
      <c r="C234" s="816" t="s">
        <v>1326</v>
      </c>
      <c r="D234" s="814" t="s">
        <v>1941</v>
      </c>
      <c r="E234" s="4075" t="s">
        <v>3239</v>
      </c>
      <c r="F234" s="4075"/>
      <c r="G234" s="4075"/>
      <c r="H234" s="4075"/>
    </row>
    <row r="235" spans="1:8" ht="12.75" customHeight="1">
      <c r="C235" s="1787" t="s">
        <v>4824</v>
      </c>
      <c r="E235" s="4075" t="s">
        <v>3400</v>
      </c>
      <c r="F235" s="4075"/>
      <c r="G235" s="4075"/>
      <c r="H235" s="4075"/>
    </row>
    <row r="236" spans="1:8" ht="12.75" customHeight="1">
      <c r="C236" s="1788"/>
      <c r="D236" s="1786" t="s">
        <v>3238</v>
      </c>
      <c r="E236" s="4141" t="s">
        <v>3401</v>
      </c>
      <c r="F236" s="4141"/>
      <c r="G236" s="4141"/>
      <c r="H236" s="4141"/>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3404</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4075" t="s">
        <v>3239</v>
      </c>
      <c r="F241" s="4075"/>
      <c r="G241" s="4075"/>
      <c r="H241" s="4075"/>
    </row>
    <row r="242" spans="1:8" ht="12.75" customHeight="1">
      <c r="C242" s="1787" t="s">
        <v>4824</v>
      </c>
      <c r="E242" s="4075" t="s">
        <v>3400</v>
      </c>
      <c r="F242" s="4075"/>
      <c r="G242" s="4075"/>
      <c r="H242" s="4075"/>
    </row>
    <row r="243" spans="1:8" ht="12.75" customHeight="1">
      <c r="C243" s="1788"/>
      <c r="D243" s="1785" t="s">
        <v>3238</v>
      </c>
      <c r="E243" s="4142" t="s">
        <v>3401</v>
      </c>
      <c r="F243" s="4142"/>
      <c r="G243" s="4142"/>
      <c r="H243" s="4142"/>
    </row>
    <row r="244" spans="1:8" ht="3" customHeight="1">
      <c r="D244" s="814"/>
      <c r="E244" s="1784"/>
      <c r="F244" s="1784"/>
      <c r="G244" s="1784"/>
      <c r="H244" s="1784"/>
    </row>
    <row r="245" spans="1:8" ht="12.75" customHeight="1">
      <c r="C245" s="779" t="s">
        <v>3139</v>
      </c>
      <c r="D245" s="814" t="s">
        <v>1939</v>
      </c>
      <c r="E245" s="815"/>
      <c r="F245" s="811" t="s">
        <v>3140</v>
      </c>
      <c r="G245" s="811"/>
      <c r="H245" s="811"/>
    </row>
    <row r="246" spans="1:8" ht="12.75" customHeight="1">
      <c r="C246" s="816" t="s">
        <v>1326</v>
      </c>
      <c r="D246" s="814" t="s">
        <v>1941</v>
      </c>
      <c r="E246" s="4075" t="s">
        <v>3239</v>
      </c>
      <c r="F246" s="4075"/>
      <c r="G246" s="4075"/>
      <c r="H246" s="4075"/>
    </row>
    <row r="247" spans="1:8" ht="12.75" customHeight="1">
      <c r="C247" s="1787" t="s">
        <v>4824</v>
      </c>
      <c r="E247" s="4075" t="s">
        <v>3400</v>
      </c>
      <c r="F247" s="4075"/>
      <c r="G247" s="4075"/>
      <c r="H247" s="4075"/>
    </row>
    <row r="248" spans="1:8" ht="12.75" customHeight="1">
      <c r="C248" s="1788"/>
      <c r="D248" s="1786" t="s">
        <v>3238</v>
      </c>
      <c r="E248" s="4141" t="s">
        <v>3401</v>
      </c>
      <c r="F248" s="4141"/>
      <c r="G248" s="4141"/>
      <c r="H248" s="4141"/>
    </row>
    <row r="249" spans="1:8" ht="3" customHeight="1">
      <c r="D249" s="814"/>
      <c r="E249" s="1784"/>
      <c r="F249" s="1784"/>
      <c r="G249" s="1784"/>
      <c r="H249" s="1784"/>
    </row>
    <row r="250" spans="1:8" ht="12.75" customHeight="1">
      <c r="C250" s="779" t="s">
        <v>3139</v>
      </c>
      <c r="D250" s="814" t="s">
        <v>1939</v>
      </c>
      <c r="E250" s="815"/>
      <c r="F250" s="811" t="s">
        <v>3140</v>
      </c>
      <c r="G250" s="811"/>
      <c r="H250" s="811"/>
    </row>
    <row r="251" spans="1:8" ht="12.75" customHeight="1">
      <c r="C251" s="816" t="s">
        <v>1326</v>
      </c>
      <c r="D251" s="814" t="s">
        <v>1941</v>
      </c>
      <c r="E251" s="4075" t="s">
        <v>3239</v>
      </c>
      <c r="F251" s="4075"/>
      <c r="G251" s="4075"/>
      <c r="H251" s="4075"/>
    </row>
    <row r="252" spans="1:8" ht="12.75" customHeight="1">
      <c r="C252" s="1787" t="s">
        <v>4824</v>
      </c>
      <c r="E252" s="4075" t="s">
        <v>3400</v>
      </c>
      <c r="F252" s="4075"/>
      <c r="G252" s="4075"/>
      <c r="H252" s="4075"/>
    </row>
    <row r="253" spans="1:8" ht="12.75" customHeight="1">
      <c r="C253" s="1788"/>
      <c r="D253" s="1786" t="s">
        <v>3238</v>
      </c>
      <c r="E253" s="4141" t="s">
        <v>3401</v>
      </c>
      <c r="F253" s="4141"/>
      <c r="G253" s="4141"/>
      <c r="H253" s="4141"/>
    </row>
    <row r="254" spans="1:8" ht="6" customHeight="1">
      <c r="D254" s="814"/>
      <c r="E254" s="1784"/>
      <c r="F254" s="1784"/>
      <c r="G254" s="1784"/>
      <c r="H254" s="1784"/>
    </row>
    <row r="255" spans="1:8">
      <c r="A255" s="785" t="s">
        <v>3234</v>
      </c>
      <c r="B255" s="812" t="str">
        <f>IF('Part VI-Revenues &amp; Expenses'!$O$60=0,"",'Part VI-Revenues &amp; Expenses'!$O$60)</f>
        <v/>
      </c>
      <c r="C255" s="785" t="s">
        <v>4822</v>
      </c>
      <c r="D255" s="813" t="s">
        <v>4823</v>
      </c>
    </row>
    <row r="256" spans="1:8" ht="1.95" customHeight="1"/>
    <row r="257" spans="1:11" ht="12.75" customHeight="1">
      <c r="C257" s="779" t="s">
        <v>3139</v>
      </c>
      <c r="D257" s="814" t="s">
        <v>1939</v>
      </c>
      <c r="E257" s="815"/>
      <c r="F257" s="4075" t="s">
        <v>3140</v>
      </c>
      <c r="G257" s="4075"/>
      <c r="H257" s="4075"/>
      <c r="K257" s="730" t="s">
        <v>238</v>
      </c>
    </row>
    <row r="258" spans="1:11" ht="12.75" customHeight="1">
      <c r="C258" s="816" t="s">
        <v>1326</v>
      </c>
      <c r="D258" s="814" t="s">
        <v>1941</v>
      </c>
      <c r="E258" s="4075" t="s">
        <v>3240</v>
      </c>
      <c r="F258" s="4075"/>
      <c r="G258" s="4075"/>
      <c r="H258" s="4075"/>
    </row>
    <row r="259" spans="1:11" ht="12.75" customHeight="1">
      <c r="E259" s="4075" t="s">
        <v>3400</v>
      </c>
      <c r="F259" s="4075"/>
      <c r="G259" s="4075"/>
      <c r="H259" s="4075"/>
    </row>
    <row r="260" spans="1:11" ht="12.75" customHeight="1">
      <c r="D260" s="817" t="s">
        <v>3238</v>
      </c>
      <c r="E260" s="4075" t="s">
        <v>3401</v>
      </c>
      <c r="F260" s="4075"/>
      <c r="G260" s="4075"/>
      <c r="H260" s="4075"/>
    </row>
    <row r="261" spans="1:11" ht="9" customHeight="1" thickBot="1"/>
    <row r="262" spans="1:11" ht="16.2" customHeight="1" thickBot="1">
      <c r="A262" s="4139">
        <v>50</v>
      </c>
      <c r="B262" s="4140"/>
      <c r="C262" s="1789" t="s">
        <v>1018</v>
      </c>
    </row>
    <row r="263" spans="1:11" ht="9" customHeight="1">
      <c r="A263" s="752"/>
    </row>
    <row r="264" spans="1:11" ht="28.2" customHeight="1">
      <c r="A264" s="4143" t="s">
        <v>4825</v>
      </c>
      <c r="B264" s="4143"/>
      <c r="C264" s="4143"/>
      <c r="D264" s="4143"/>
      <c r="E264" s="4143"/>
      <c r="F264" s="4143"/>
      <c r="G264" s="4143"/>
      <c r="H264" s="4143"/>
    </row>
    <row r="265" spans="1:11" ht="9" customHeight="1">
      <c r="A265" s="752"/>
    </row>
    <row r="266" spans="1:11">
      <c r="A266" s="785" t="s">
        <v>3234</v>
      </c>
      <c r="B266" s="812" t="str">
        <f>IF('Part VI-Revenues &amp; Expenses'!$K$59=0,"",'Part VI-Revenues &amp; Expenses'!$K$59)</f>
        <v/>
      </c>
      <c r="C266" s="785" t="s">
        <v>4819</v>
      </c>
      <c r="D266" s="813" t="s">
        <v>4820</v>
      </c>
    </row>
    <row r="267" spans="1:11" ht="1.95" customHeight="1"/>
    <row r="268" spans="1:11" ht="12.75" customHeight="1">
      <c r="C268" s="779" t="s">
        <v>3139</v>
      </c>
      <c r="D268" s="814" t="s">
        <v>1939</v>
      </c>
      <c r="E268" s="815"/>
      <c r="F268" s="4075" t="s">
        <v>3140</v>
      </c>
      <c r="G268" s="4075"/>
      <c r="H268" s="4075"/>
    </row>
    <row r="269" spans="1:11" ht="12.75" customHeight="1">
      <c r="C269" s="816" t="s">
        <v>1326</v>
      </c>
      <c r="D269" s="814" t="s">
        <v>1941</v>
      </c>
      <c r="E269" s="4075" t="s">
        <v>3239</v>
      </c>
      <c r="F269" s="4075"/>
      <c r="G269" s="4075"/>
      <c r="H269" s="4075"/>
    </row>
    <row r="270" spans="1:11" ht="12.75" customHeight="1">
      <c r="C270" s="1787" t="s">
        <v>4824</v>
      </c>
      <c r="E270" s="4075" t="s">
        <v>3400</v>
      </c>
      <c r="F270" s="4075"/>
      <c r="G270" s="4075"/>
      <c r="H270" s="4075"/>
    </row>
    <row r="271" spans="1:11" ht="12.75" customHeight="1">
      <c r="C271" s="1788"/>
      <c r="D271" s="1786" t="s">
        <v>3238</v>
      </c>
      <c r="E271" s="4141" t="s">
        <v>3401</v>
      </c>
      <c r="F271" s="4141"/>
      <c r="G271" s="4141"/>
      <c r="H271" s="4141"/>
    </row>
    <row r="272" spans="1:11" ht="3" customHeight="1">
      <c r="D272" s="814"/>
      <c r="E272" s="1784"/>
      <c r="F272" s="1784"/>
      <c r="G272" s="1784"/>
      <c r="H272" s="1784"/>
    </row>
    <row r="273" spans="1:8" ht="12.75" customHeight="1">
      <c r="C273" s="779" t="s">
        <v>3139</v>
      </c>
      <c r="D273" s="814" t="s">
        <v>1939</v>
      </c>
      <c r="E273" s="815"/>
      <c r="F273" s="811" t="s">
        <v>3140</v>
      </c>
      <c r="G273" s="811"/>
      <c r="H273" s="811"/>
    </row>
    <row r="274" spans="1:8" ht="12.75" customHeight="1">
      <c r="C274" s="816" t="s">
        <v>1326</v>
      </c>
      <c r="D274" s="814" t="s">
        <v>1941</v>
      </c>
      <c r="E274" s="4075" t="s">
        <v>3239</v>
      </c>
      <c r="F274" s="4075"/>
      <c r="G274" s="4075"/>
      <c r="H274" s="4075"/>
    </row>
    <row r="275" spans="1:8" ht="12.75" customHeight="1">
      <c r="C275" s="1787" t="s">
        <v>4824</v>
      </c>
      <c r="E275" s="4075" t="s">
        <v>3400</v>
      </c>
      <c r="F275" s="4075"/>
      <c r="G275" s="4075"/>
      <c r="H275" s="4075"/>
    </row>
    <row r="276" spans="1:8" ht="12.75" customHeight="1">
      <c r="C276" s="1788"/>
      <c r="D276" s="1786" t="s">
        <v>3238</v>
      </c>
      <c r="E276" s="4141" t="s">
        <v>3401</v>
      </c>
      <c r="F276" s="4141"/>
      <c r="G276" s="4141"/>
      <c r="H276" s="4141"/>
    </row>
    <row r="277" spans="1:8" ht="3" customHeight="1">
      <c r="D277" s="814"/>
      <c r="E277" s="1784"/>
      <c r="F277" s="1784"/>
      <c r="G277" s="1784"/>
      <c r="H277" s="1784"/>
    </row>
    <row r="278" spans="1:8" ht="12.75" customHeight="1">
      <c r="C278" s="779" t="s">
        <v>3139</v>
      </c>
      <c r="D278" s="814" t="s">
        <v>1939</v>
      </c>
      <c r="E278" s="815"/>
      <c r="F278" s="811" t="s">
        <v>3140</v>
      </c>
      <c r="G278" s="811"/>
      <c r="H278" s="811"/>
    </row>
    <row r="279" spans="1:8" ht="12.75" customHeight="1">
      <c r="C279" s="816" t="s">
        <v>1326</v>
      </c>
      <c r="D279" s="814" t="s">
        <v>1941</v>
      </c>
      <c r="E279" s="4075" t="s">
        <v>3239</v>
      </c>
      <c r="F279" s="4075"/>
      <c r="G279" s="4075"/>
      <c r="H279" s="4075"/>
    </row>
    <row r="280" spans="1:8" ht="12.75" customHeight="1">
      <c r="C280" s="1787" t="s">
        <v>4824</v>
      </c>
      <c r="E280" s="4075" t="s">
        <v>3400</v>
      </c>
      <c r="F280" s="4075"/>
      <c r="G280" s="4075"/>
      <c r="H280" s="4075"/>
    </row>
    <row r="281" spans="1:8" ht="12.75" customHeight="1">
      <c r="C281" s="1788"/>
      <c r="D281" s="1786" t="s">
        <v>3238</v>
      </c>
      <c r="E281" s="4141" t="s">
        <v>3401</v>
      </c>
      <c r="F281" s="4141"/>
      <c r="G281" s="4141"/>
      <c r="H281" s="4141"/>
    </row>
    <row r="282" spans="1:8" ht="6" customHeight="1">
      <c r="D282" s="814"/>
      <c r="E282" s="1784"/>
      <c r="F282" s="1784"/>
      <c r="G282" s="1784"/>
      <c r="H282" s="1784"/>
    </row>
    <row r="283" spans="1:8">
      <c r="A283" s="785" t="s">
        <v>3234</v>
      </c>
      <c r="B283" s="812">
        <f>IF('Part VI-Revenues &amp; Expenses'!$L$59=0,"",'Part VI-Revenues &amp; Expenses'!$L$59)</f>
        <v>2</v>
      </c>
      <c r="C283" s="785" t="s">
        <v>3235</v>
      </c>
      <c r="D283" s="813" t="s">
        <v>3402</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4075" t="s">
        <v>3239</v>
      </c>
      <c r="F286" s="4075"/>
      <c r="G286" s="4075"/>
      <c r="H286" s="4075"/>
    </row>
    <row r="287" spans="1:8" ht="12.75" customHeight="1">
      <c r="C287" s="1787" t="s">
        <v>4824</v>
      </c>
      <c r="E287" s="4075" t="s">
        <v>3400</v>
      </c>
      <c r="F287" s="4075"/>
      <c r="G287" s="4075"/>
      <c r="H287" s="4075"/>
    </row>
    <row r="288" spans="1:8" ht="12.75" customHeight="1">
      <c r="C288" s="1788"/>
      <c r="D288" s="1785" t="s">
        <v>3238</v>
      </c>
      <c r="E288" s="4142" t="s">
        <v>3401</v>
      </c>
      <c r="F288" s="4142"/>
      <c r="G288" s="4142"/>
      <c r="H288" s="4142"/>
    </row>
    <row r="289" spans="1:8" ht="3" customHeight="1">
      <c r="D289" s="814"/>
      <c r="E289" s="1784"/>
      <c r="F289" s="1784"/>
      <c r="G289" s="1784"/>
      <c r="H289" s="1784"/>
    </row>
    <row r="290" spans="1:8" ht="12.75" customHeight="1">
      <c r="C290" s="779" t="s">
        <v>3139</v>
      </c>
      <c r="D290" s="814" t="s">
        <v>1939</v>
      </c>
      <c r="E290" s="815"/>
      <c r="F290" s="811" t="s">
        <v>3140</v>
      </c>
      <c r="G290" s="811"/>
      <c r="H290" s="811"/>
    </row>
    <row r="291" spans="1:8" ht="12.75" customHeight="1">
      <c r="C291" s="816" t="s">
        <v>1326</v>
      </c>
      <c r="D291" s="814" t="s">
        <v>1941</v>
      </c>
      <c r="E291" s="4075" t="s">
        <v>3239</v>
      </c>
      <c r="F291" s="4075"/>
      <c r="G291" s="4075"/>
      <c r="H291" s="4075"/>
    </row>
    <row r="292" spans="1:8" ht="12.75" customHeight="1">
      <c r="C292" s="1787" t="s">
        <v>4824</v>
      </c>
      <c r="E292" s="4075" t="s">
        <v>3400</v>
      </c>
      <c r="F292" s="4075"/>
      <c r="G292" s="4075"/>
      <c r="H292" s="4075"/>
    </row>
    <row r="293" spans="1:8" ht="12.75" customHeight="1">
      <c r="C293" s="1788"/>
      <c r="D293" s="1786" t="s">
        <v>3238</v>
      </c>
      <c r="E293" s="4141" t="s">
        <v>3401</v>
      </c>
      <c r="F293" s="4141"/>
      <c r="G293" s="4141"/>
      <c r="H293" s="4141"/>
    </row>
    <row r="294" spans="1:8" ht="3" customHeight="1">
      <c r="D294" s="814"/>
      <c r="E294" s="1784"/>
      <c r="F294" s="1784"/>
      <c r="G294" s="1784"/>
      <c r="H294" s="1784"/>
    </row>
    <row r="295" spans="1:8" ht="12.75" customHeight="1">
      <c r="C295" s="779" t="s">
        <v>3139</v>
      </c>
      <c r="D295" s="814" t="s">
        <v>1939</v>
      </c>
      <c r="E295" s="815"/>
      <c r="F295" s="811" t="s">
        <v>3140</v>
      </c>
      <c r="G295" s="811"/>
      <c r="H295" s="811"/>
    </row>
    <row r="296" spans="1:8" ht="12.75" customHeight="1">
      <c r="C296" s="816" t="s">
        <v>1326</v>
      </c>
      <c r="D296" s="814" t="s">
        <v>1941</v>
      </c>
      <c r="E296" s="4075" t="s">
        <v>3239</v>
      </c>
      <c r="F296" s="4075"/>
      <c r="G296" s="4075"/>
      <c r="H296" s="4075"/>
    </row>
    <row r="297" spans="1:8" ht="12.75" customHeight="1">
      <c r="C297" s="1787" t="s">
        <v>4824</v>
      </c>
      <c r="E297" s="4075" t="s">
        <v>3400</v>
      </c>
      <c r="F297" s="4075"/>
      <c r="G297" s="4075"/>
      <c r="H297" s="4075"/>
    </row>
    <row r="298" spans="1:8" ht="12.75" customHeight="1">
      <c r="C298" s="1788"/>
      <c r="D298" s="1786" t="s">
        <v>3238</v>
      </c>
      <c r="E298" s="4141" t="s">
        <v>3401</v>
      </c>
      <c r="F298" s="4141"/>
      <c r="G298" s="4141"/>
      <c r="H298" s="4141"/>
    </row>
    <row r="299" spans="1:8" ht="6" customHeight="1">
      <c r="D299" s="814"/>
      <c r="E299" s="1784"/>
      <c r="F299" s="1784"/>
      <c r="G299" s="1784"/>
      <c r="H299" s="1784"/>
    </row>
    <row r="300" spans="1:8">
      <c r="A300" s="785" t="s">
        <v>3234</v>
      </c>
      <c r="B300" s="812">
        <f>IF('Part VI-Revenues &amp; Expenses'!$M$59=0,"",'Part VI-Revenues &amp; Expenses'!$M$59)</f>
        <v>6</v>
      </c>
      <c r="C300" s="785" t="s">
        <v>3236</v>
      </c>
      <c r="D300" s="813" t="s">
        <v>3403</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4075" t="s">
        <v>3239</v>
      </c>
      <c r="F303" s="4075"/>
      <c r="G303" s="4075"/>
      <c r="H303" s="4075"/>
    </row>
    <row r="304" spans="1:8" ht="12.75" customHeight="1">
      <c r="C304" s="1787" t="s">
        <v>4824</v>
      </c>
      <c r="E304" s="4075" t="s">
        <v>3400</v>
      </c>
      <c r="F304" s="4075"/>
      <c r="G304" s="4075"/>
      <c r="H304" s="4075"/>
    </row>
    <row r="305" spans="1:8" ht="12.75" customHeight="1">
      <c r="C305" s="1788"/>
      <c r="D305" s="1785" t="s">
        <v>3238</v>
      </c>
      <c r="E305" s="4142" t="s">
        <v>3401</v>
      </c>
      <c r="F305" s="4142"/>
      <c r="G305" s="4142"/>
      <c r="H305" s="4142"/>
    </row>
    <row r="306" spans="1:8" ht="3" customHeight="1">
      <c r="D306" s="814"/>
      <c r="E306" s="1784"/>
      <c r="F306" s="1784"/>
      <c r="G306" s="1784"/>
      <c r="H306" s="1784"/>
    </row>
    <row r="307" spans="1:8" ht="12.75" customHeight="1">
      <c r="C307" s="779" t="s">
        <v>3139</v>
      </c>
      <c r="D307" s="814" t="s">
        <v>1939</v>
      </c>
      <c r="E307" s="815"/>
      <c r="F307" s="811" t="s">
        <v>3140</v>
      </c>
      <c r="G307" s="811"/>
      <c r="H307" s="811"/>
    </row>
    <row r="308" spans="1:8" ht="12.75" customHeight="1">
      <c r="C308" s="816" t="s">
        <v>1326</v>
      </c>
      <c r="D308" s="814" t="s">
        <v>1941</v>
      </c>
      <c r="E308" s="4075" t="s">
        <v>3239</v>
      </c>
      <c r="F308" s="4075"/>
      <c r="G308" s="4075"/>
      <c r="H308" s="4075"/>
    </row>
    <row r="309" spans="1:8" ht="12.75" customHeight="1">
      <c r="C309" s="1787" t="s">
        <v>4824</v>
      </c>
      <c r="E309" s="4075" t="s">
        <v>3400</v>
      </c>
      <c r="F309" s="4075"/>
      <c r="G309" s="4075"/>
      <c r="H309" s="4075"/>
    </row>
    <row r="310" spans="1:8" ht="12.75" customHeight="1">
      <c r="C310" s="1788"/>
      <c r="D310" s="1786" t="s">
        <v>3238</v>
      </c>
      <c r="E310" s="4141" t="s">
        <v>3401</v>
      </c>
      <c r="F310" s="4141"/>
      <c r="G310" s="4141"/>
      <c r="H310" s="4141"/>
    </row>
    <row r="311" spans="1:8" ht="3" customHeight="1">
      <c r="D311" s="814"/>
      <c r="E311" s="1784"/>
      <c r="F311" s="1784"/>
      <c r="G311" s="1784"/>
      <c r="H311" s="1784"/>
    </row>
    <row r="312" spans="1:8" ht="12.75" customHeight="1">
      <c r="C312" s="779" t="s">
        <v>3139</v>
      </c>
      <c r="D312" s="814" t="s">
        <v>1939</v>
      </c>
      <c r="E312" s="815"/>
      <c r="F312" s="811" t="s">
        <v>3140</v>
      </c>
      <c r="G312" s="811"/>
      <c r="H312" s="811"/>
    </row>
    <row r="313" spans="1:8" ht="12.75" customHeight="1">
      <c r="C313" s="816" t="s">
        <v>1326</v>
      </c>
      <c r="D313" s="814" t="s">
        <v>1941</v>
      </c>
      <c r="E313" s="4075" t="s">
        <v>3239</v>
      </c>
      <c r="F313" s="4075"/>
      <c r="G313" s="4075"/>
      <c r="H313" s="4075"/>
    </row>
    <row r="314" spans="1:8" ht="12.75" customHeight="1">
      <c r="C314" s="1787" t="s">
        <v>4824</v>
      </c>
      <c r="E314" s="4075" t="s">
        <v>3400</v>
      </c>
      <c r="F314" s="4075"/>
      <c r="G314" s="4075"/>
      <c r="H314" s="4075"/>
    </row>
    <row r="315" spans="1:8" ht="12.75" customHeight="1">
      <c r="C315" s="1788"/>
      <c r="D315" s="1786" t="s">
        <v>3238</v>
      </c>
      <c r="E315" s="4141" t="s">
        <v>3401</v>
      </c>
      <c r="F315" s="4141"/>
      <c r="G315" s="4141"/>
      <c r="H315" s="4141"/>
    </row>
    <row r="316" spans="1:8" ht="6" customHeight="1">
      <c r="D316" s="814"/>
      <c r="E316" s="1784"/>
      <c r="F316" s="1784"/>
      <c r="G316" s="1784"/>
      <c r="H316" s="1784"/>
    </row>
    <row r="317" spans="1:8">
      <c r="A317" s="785" t="s">
        <v>3234</v>
      </c>
      <c r="B317" s="812">
        <f>IF('Part VI-Revenues &amp; Expenses'!$N$59=0,"",'Part VI-Revenues &amp; Expenses'!$N$59)</f>
        <v>4</v>
      </c>
      <c r="C317" s="785" t="s">
        <v>3237</v>
      </c>
      <c r="D317" s="813" t="s">
        <v>3404</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4075" t="s">
        <v>3239</v>
      </c>
      <c r="F320" s="4075"/>
      <c r="G320" s="4075"/>
      <c r="H320" s="4075"/>
    </row>
    <row r="321" spans="1:11" ht="12.75" customHeight="1">
      <c r="C321" s="1787" t="s">
        <v>4824</v>
      </c>
      <c r="E321" s="4075" t="s">
        <v>3400</v>
      </c>
      <c r="F321" s="4075"/>
      <c r="G321" s="4075"/>
      <c r="H321" s="4075"/>
    </row>
    <row r="322" spans="1:11" ht="12.75" customHeight="1">
      <c r="C322" s="1788"/>
      <c r="D322" s="1785" t="s">
        <v>3238</v>
      </c>
      <c r="E322" s="4142" t="s">
        <v>3401</v>
      </c>
      <c r="F322" s="4142"/>
      <c r="G322" s="4142"/>
      <c r="H322" s="4142"/>
    </row>
    <row r="323" spans="1:11" ht="3" customHeight="1">
      <c r="D323" s="814"/>
      <c r="E323" s="1784"/>
      <c r="F323" s="1784"/>
      <c r="G323" s="1784"/>
      <c r="H323" s="1784"/>
    </row>
    <row r="324" spans="1:11" ht="12.75" customHeight="1">
      <c r="C324" s="779" t="s">
        <v>3139</v>
      </c>
      <c r="D324" s="814" t="s">
        <v>1939</v>
      </c>
      <c r="E324" s="815"/>
      <c r="F324" s="811" t="s">
        <v>3140</v>
      </c>
      <c r="G324" s="811"/>
      <c r="H324" s="811"/>
    </row>
    <row r="325" spans="1:11" ht="12.75" customHeight="1">
      <c r="C325" s="816" t="s">
        <v>1326</v>
      </c>
      <c r="D325" s="814" t="s">
        <v>1941</v>
      </c>
      <c r="E325" s="4075" t="s">
        <v>3239</v>
      </c>
      <c r="F325" s="4075"/>
      <c r="G325" s="4075"/>
      <c r="H325" s="4075"/>
    </row>
    <row r="326" spans="1:11" ht="12.75" customHeight="1">
      <c r="C326" s="1787" t="s">
        <v>4824</v>
      </c>
      <c r="E326" s="4075" t="s">
        <v>3400</v>
      </c>
      <c r="F326" s="4075"/>
      <c r="G326" s="4075"/>
      <c r="H326" s="4075"/>
    </row>
    <row r="327" spans="1:11" ht="12.75" customHeight="1">
      <c r="C327" s="1788"/>
      <c r="D327" s="1786" t="s">
        <v>3238</v>
      </c>
      <c r="E327" s="4141" t="s">
        <v>3401</v>
      </c>
      <c r="F327" s="4141"/>
      <c r="G327" s="4141"/>
      <c r="H327" s="4141"/>
    </row>
    <row r="328" spans="1:11" ht="3" customHeight="1">
      <c r="D328" s="814"/>
      <c r="E328" s="1784"/>
      <c r="F328" s="1784"/>
      <c r="G328" s="1784"/>
      <c r="H328" s="1784"/>
    </row>
    <row r="329" spans="1:11" ht="12.75" customHeight="1">
      <c r="C329" s="779" t="s">
        <v>3139</v>
      </c>
      <c r="D329" s="814" t="s">
        <v>1939</v>
      </c>
      <c r="E329" s="815"/>
      <c r="F329" s="811" t="s">
        <v>3140</v>
      </c>
      <c r="G329" s="811"/>
      <c r="H329" s="811"/>
    </row>
    <row r="330" spans="1:11" ht="12.75" customHeight="1">
      <c r="C330" s="816" t="s">
        <v>1326</v>
      </c>
      <c r="D330" s="814" t="s">
        <v>1941</v>
      </c>
      <c r="E330" s="4075" t="s">
        <v>3239</v>
      </c>
      <c r="F330" s="4075"/>
      <c r="G330" s="4075"/>
      <c r="H330" s="4075"/>
    </row>
    <row r="331" spans="1:11" ht="12.75" customHeight="1">
      <c r="C331" s="1787" t="s">
        <v>4824</v>
      </c>
      <c r="E331" s="4075" t="s">
        <v>3400</v>
      </c>
      <c r="F331" s="4075"/>
      <c r="G331" s="4075"/>
      <c r="H331" s="4075"/>
    </row>
    <row r="332" spans="1:11" ht="12.75" customHeight="1">
      <c r="C332" s="1788"/>
      <c r="D332" s="1786" t="s">
        <v>3238</v>
      </c>
      <c r="E332" s="4141" t="s">
        <v>3401</v>
      </c>
      <c r="F332" s="4141"/>
      <c r="G332" s="4141"/>
      <c r="H332" s="4141"/>
    </row>
    <row r="333" spans="1:11" ht="6" customHeight="1">
      <c r="D333" s="814"/>
      <c r="E333" s="1784"/>
      <c r="F333" s="1784"/>
      <c r="G333" s="1784"/>
      <c r="H333" s="1784"/>
    </row>
    <row r="334" spans="1:11">
      <c r="A334" s="785" t="s">
        <v>3234</v>
      </c>
      <c r="B334" s="812" t="str">
        <f>IF('Part VI-Revenues &amp; Expenses'!$O$59=0,"",'Part VI-Revenues &amp; Expenses'!$O$59)</f>
        <v/>
      </c>
      <c r="C334" s="785" t="s">
        <v>4822</v>
      </c>
      <c r="D334" s="813" t="s">
        <v>4823</v>
      </c>
    </row>
    <row r="335" spans="1:11" ht="1.95" customHeight="1"/>
    <row r="336" spans="1:11" ht="12.75" customHeight="1">
      <c r="C336" s="779" t="s">
        <v>3139</v>
      </c>
      <c r="D336" s="814" t="s">
        <v>1939</v>
      </c>
      <c r="E336" s="815"/>
      <c r="F336" s="4075" t="s">
        <v>3140</v>
      </c>
      <c r="G336" s="4075"/>
      <c r="H336" s="4075"/>
      <c r="K336" s="730" t="s">
        <v>238</v>
      </c>
    </row>
    <row r="337" spans="1:8" ht="12.75" customHeight="1">
      <c r="C337" s="816" t="s">
        <v>1326</v>
      </c>
      <c r="D337" s="814" t="s">
        <v>1941</v>
      </c>
      <c r="E337" s="4075" t="s">
        <v>3240</v>
      </c>
      <c r="F337" s="4075"/>
      <c r="G337" s="4075"/>
      <c r="H337" s="4075"/>
    </row>
    <row r="338" spans="1:8" ht="12.75" customHeight="1">
      <c r="E338" s="4075" t="s">
        <v>3400</v>
      </c>
      <c r="F338" s="4075"/>
      <c r="G338" s="4075"/>
      <c r="H338" s="4075"/>
    </row>
    <row r="339" spans="1:8" ht="12.75" customHeight="1">
      <c r="D339" s="817" t="s">
        <v>3238</v>
      </c>
      <c r="E339" s="4075" t="s">
        <v>3401</v>
      </c>
      <c r="F339" s="4075"/>
      <c r="G339" s="4075"/>
      <c r="H339" s="4075"/>
    </row>
    <row r="340" spans="1:8" ht="9" customHeight="1"/>
    <row r="341" spans="1:8" ht="7.5" customHeight="1" thickBot="1">
      <c r="E341" s="4075"/>
      <c r="F341" s="4075"/>
      <c r="G341" s="4075"/>
      <c r="H341" s="4075"/>
    </row>
    <row r="342" spans="1:8" ht="16.2" customHeight="1" thickBot="1">
      <c r="A342" s="4139">
        <v>60</v>
      </c>
      <c r="B342" s="4140"/>
      <c r="C342" s="1789" t="s">
        <v>1018</v>
      </c>
    </row>
    <row r="343" spans="1:8" ht="9" customHeight="1">
      <c r="A343" s="752"/>
    </row>
    <row r="344" spans="1:8" ht="28.2" customHeight="1">
      <c r="A344" s="4143" t="s">
        <v>4829</v>
      </c>
      <c r="B344" s="4143"/>
      <c r="C344" s="4143"/>
      <c r="D344" s="4143"/>
      <c r="E344" s="4143"/>
      <c r="F344" s="4143"/>
      <c r="G344" s="4143"/>
      <c r="H344" s="4143"/>
    </row>
    <row r="345" spans="1:8" ht="9" customHeight="1">
      <c r="A345" s="752"/>
    </row>
    <row r="346" spans="1:8">
      <c r="A346" s="785" t="s">
        <v>3234</v>
      </c>
      <c r="B346" s="812" t="str">
        <f>IF('Part VI-Revenues &amp; Expenses'!$K$58=0,"",'Part VI-Revenues &amp; Expenses'!$K$58)</f>
        <v/>
      </c>
      <c r="C346" s="785" t="s">
        <v>4819</v>
      </c>
      <c r="D346" s="813" t="s">
        <v>4820</v>
      </c>
    </row>
    <row r="347" spans="1:8" ht="1.95" customHeight="1"/>
    <row r="348" spans="1:8" ht="12.75" customHeight="1">
      <c r="C348" s="779" t="s">
        <v>3139</v>
      </c>
      <c r="D348" s="814" t="s">
        <v>1939</v>
      </c>
      <c r="E348" s="815"/>
      <c r="F348" s="4075" t="s">
        <v>3140</v>
      </c>
      <c r="G348" s="4075"/>
      <c r="H348" s="4075"/>
    </row>
    <row r="349" spans="1:8" ht="12.75" customHeight="1">
      <c r="C349" s="816" t="s">
        <v>1326</v>
      </c>
      <c r="D349" s="814" t="s">
        <v>1941</v>
      </c>
      <c r="E349" s="4075" t="s">
        <v>3239</v>
      </c>
      <c r="F349" s="4075"/>
      <c r="G349" s="4075"/>
      <c r="H349" s="4075"/>
    </row>
    <row r="350" spans="1:8" ht="12.75" customHeight="1">
      <c r="C350" s="1787" t="s">
        <v>4824</v>
      </c>
      <c r="E350" s="4075" t="s">
        <v>3400</v>
      </c>
      <c r="F350" s="4075"/>
      <c r="G350" s="4075"/>
      <c r="H350" s="4075"/>
    </row>
    <row r="351" spans="1:8" ht="12.75" customHeight="1">
      <c r="C351" s="1788"/>
      <c r="D351" s="1786" t="s">
        <v>3238</v>
      </c>
      <c r="E351" s="4141" t="s">
        <v>3401</v>
      </c>
      <c r="F351" s="4141"/>
      <c r="G351" s="4141"/>
      <c r="H351" s="4141"/>
    </row>
    <row r="352" spans="1:8" ht="3" customHeight="1">
      <c r="D352" s="814"/>
      <c r="E352" s="1784"/>
      <c r="F352" s="1784"/>
      <c r="G352" s="1784"/>
      <c r="H352" s="1784"/>
    </row>
    <row r="353" spans="1:8" ht="12.75" customHeight="1">
      <c r="C353" s="779" t="s">
        <v>3139</v>
      </c>
      <c r="D353" s="814" t="s">
        <v>1939</v>
      </c>
      <c r="E353" s="815"/>
      <c r="F353" s="811" t="s">
        <v>3140</v>
      </c>
      <c r="G353" s="811"/>
      <c r="H353" s="811"/>
    </row>
    <row r="354" spans="1:8" ht="12.75" customHeight="1">
      <c r="C354" s="816" t="s">
        <v>1326</v>
      </c>
      <c r="D354" s="814" t="s">
        <v>1941</v>
      </c>
      <c r="E354" s="4075" t="s">
        <v>3239</v>
      </c>
      <c r="F354" s="4075"/>
      <c r="G354" s="4075"/>
      <c r="H354" s="4075"/>
    </row>
    <row r="355" spans="1:8" ht="12.75" customHeight="1">
      <c r="C355" s="1787" t="s">
        <v>4824</v>
      </c>
      <c r="E355" s="4075" t="s">
        <v>3400</v>
      </c>
      <c r="F355" s="4075"/>
      <c r="G355" s="4075"/>
      <c r="H355" s="4075"/>
    </row>
    <row r="356" spans="1:8" ht="12.75" customHeight="1">
      <c r="C356" s="1788"/>
      <c r="D356" s="1786" t="s">
        <v>3238</v>
      </c>
      <c r="E356" s="4141" t="s">
        <v>3401</v>
      </c>
      <c r="F356" s="4141"/>
      <c r="G356" s="4141"/>
      <c r="H356" s="4141"/>
    </row>
    <row r="357" spans="1:8" ht="3" customHeight="1">
      <c r="D357" s="814"/>
      <c r="E357" s="1784"/>
      <c r="F357" s="1784"/>
      <c r="G357" s="1784"/>
      <c r="H357" s="1784"/>
    </row>
    <row r="358" spans="1:8" ht="12.75" customHeight="1">
      <c r="C358" s="779" t="s">
        <v>3139</v>
      </c>
      <c r="D358" s="814" t="s">
        <v>1939</v>
      </c>
      <c r="E358" s="815"/>
      <c r="F358" s="811" t="s">
        <v>3140</v>
      </c>
      <c r="G358" s="811"/>
      <c r="H358" s="811"/>
    </row>
    <row r="359" spans="1:8" ht="12.75" customHeight="1">
      <c r="C359" s="816" t="s">
        <v>1326</v>
      </c>
      <c r="D359" s="814" t="s">
        <v>1941</v>
      </c>
      <c r="E359" s="4075" t="s">
        <v>3239</v>
      </c>
      <c r="F359" s="4075"/>
      <c r="G359" s="4075"/>
      <c r="H359" s="4075"/>
    </row>
    <row r="360" spans="1:8" ht="12.75" customHeight="1">
      <c r="C360" s="1787" t="s">
        <v>4824</v>
      </c>
      <c r="E360" s="4075" t="s">
        <v>3400</v>
      </c>
      <c r="F360" s="4075"/>
      <c r="G360" s="4075"/>
      <c r="H360" s="4075"/>
    </row>
    <row r="361" spans="1:8" ht="12.75" customHeight="1">
      <c r="C361" s="1788"/>
      <c r="D361" s="1786" t="s">
        <v>3238</v>
      </c>
      <c r="E361" s="4141" t="s">
        <v>3401</v>
      </c>
      <c r="F361" s="4141"/>
      <c r="G361" s="4141"/>
      <c r="H361" s="4141"/>
    </row>
    <row r="362" spans="1:8" ht="6" customHeight="1">
      <c r="D362" s="814"/>
      <c r="E362" s="1784"/>
      <c r="F362" s="1784"/>
      <c r="G362" s="1784"/>
      <c r="H362" s="1784"/>
    </row>
    <row r="363" spans="1:8">
      <c r="A363" s="785" t="s">
        <v>3234</v>
      </c>
      <c r="B363" s="812">
        <f>IF('Part VI-Revenues &amp; Expenses'!$L$58=0,"",'Part VI-Revenues &amp; Expenses'!$L$58)</f>
        <v>6</v>
      </c>
      <c r="C363" s="785" t="s">
        <v>3235</v>
      </c>
      <c r="D363" s="813" t="s">
        <v>3402</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4075" t="s">
        <v>3239</v>
      </c>
      <c r="F366" s="4075"/>
      <c r="G366" s="4075"/>
      <c r="H366" s="4075"/>
    </row>
    <row r="367" spans="1:8" ht="12.75" customHeight="1">
      <c r="C367" s="1787" t="s">
        <v>4824</v>
      </c>
      <c r="E367" s="4075" t="s">
        <v>3400</v>
      </c>
      <c r="F367" s="4075"/>
      <c r="G367" s="4075"/>
      <c r="H367" s="4075"/>
    </row>
    <row r="368" spans="1:8" ht="12.75" customHeight="1">
      <c r="C368" s="1788"/>
      <c r="D368" s="1785" t="s">
        <v>3238</v>
      </c>
      <c r="E368" s="4142" t="s">
        <v>3401</v>
      </c>
      <c r="F368" s="4142"/>
      <c r="G368" s="4142"/>
      <c r="H368" s="4142"/>
    </row>
    <row r="369" spans="1:8" ht="3" customHeight="1">
      <c r="D369" s="814"/>
      <c r="E369" s="1784"/>
      <c r="F369" s="1784"/>
      <c r="G369" s="1784"/>
      <c r="H369" s="1784"/>
    </row>
    <row r="370" spans="1:8" ht="12.75" customHeight="1">
      <c r="C370" s="779" t="s">
        <v>3139</v>
      </c>
      <c r="D370" s="814" t="s">
        <v>1939</v>
      </c>
      <c r="E370" s="815"/>
      <c r="F370" s="811" t="s">
        <v>3140</v>
      </c>
      <c r="G370" s="811"/>
      <c r="H370" s="811"/>
    </row>
    <row r="371" spans="1:8" ht="12.75" customHeight="1">
      <c r="C371" s="816" t="s">
        <v>1326</v>
      </c>
      <c r="D371" s="814" t="s">
        <v>1941</v>
      </c>
      <c r="E371" s="4075" t="s">
        <v>3239</v>
      </c>
      <c r="F371" s="4075"/>
      <c r="G371" s="4075"/>
      <c r="H371" s="4075"/>
    </row>
    <row r="372" spans="1:8" ht="12.75" customHeight="1">
      <c r="C372" s="1787" t="s">
        <v>4824</v>
      </c>
      <c r="E372" s="4075" t="s">
        <v>3400</v>
      </c>
      <c r="F372" s="4075"/>
      <c r="G372" s="4075"/>
      <c r="H372" s="4075"/>
    </row>
    <row r="373" spans="1:8" ht="12.75" customHeight="1">
      <c r="C373" s="1788"/>
      <c r="D373" s="1786" t="s">
        <v>3238</v>
      </c>
      <c r="E373" s="4141" t="s">
        <v>3401</v>
      </c>
      <c r="F373" s="4141"/>
      <c r="G373" s="4141"/>
      <c r="H373" s="4141"/>
    </row>
    <row r="374" spans="1:8" ht="3" customHeight="1">
      <c r="D374" s="814"/>
      <c r="E374" s="1784"/>
      <c r="F374" s="1784"/>
      <c r="G374" s="1784"/>
      <c r="H374" s="1784"/>
    </row>
    <row r="375" spans="1:8" ht="12.75" customHeight="1">
      <c r="C375" s="779" t="s">
        <v>3139</v>
      </c>
      <c r="D375" s="814" t="s">
        <v>1939</v>
      </c>
      <c r="E375" s="815"/>
      <c r="F375" s="811" t="s">
        <v>3140</v>
      </c>
      <c r="G375" s="811"/>
      <c r="H375" s="811"/>
    </row>
    <row r="376" spans="1:8" ht="12.75" customHeight="1">
      <c r="C376" s="816" t="s">
        <v>1326</v>
      </c>
      <c r="D376" s="814" t="s">
        <v>1941</v>
      </c>
      <c r="E376" s="4075" t="s">
        <v>3239</v>
      </c>
      <c r="F376" s="4075"/>
      <c r="G376" s="4075"/>
      <c r="H376" s="4075"/>
    </row>
    <row r="377" spans="1:8" ht="12.75" customHeight="1">
      <c r="C377" s="1787" t="s">
        <v>4824</v>
      </c>
      <c r="E377" s="4075" t="s">
        <v>3400</v>
      </c>
      <c r="F377" s="4075"/>
      <c r="G377" s="4075"/>
      <c r="H377" s="4075"/>
    </row>
    <row r="378" spans="1:8" ht="12.75" customHeight="1">
      <c r="C378" s="1788"/>
      <c r="D378" s="1786" t="s">
        <v>3238</v>
      </c>
      <c r="E378" s="4141" t="s">
        <v>3401</v>
      </c>
      <c r="F378" s="4141"/>
      <c r="G378" s="4141"/>
      <c r="H378" s="4141"/>
    </row>
    <row r="379" spans="1:8" ht="6" customHeight="1">
      <c r="D379" s="814"/>
      <c r="E379" s="1784"/>
      <c r="F379" s="1784"/>
      <c r="G379" s="1784"/>
      <c r="H379" s="1784"/>
    </row>
    <row r="380" spans="1:8">
      <c r="A380" s="785" t="s">
        <v>3234</v>
      </c>
      <c r="B380" s="812">
        <f>IF('Part VI-Revenues &amp; Expenses'!$M$58=0,"",'Part VI-Revenues &amp; Expenses'!$M$58)</f>
        <v>30</v>
      </c>
      <c r="C380" s="785" t="s">
        <v>3236</v>
      </c>
      <c r="D380" s="813" t="s">
        <v>3403</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4075" t="s">
        <v>3239</v>
      </c>
      <c r="F383" s="4075"/>
      <c r="G383" s="4075"/>
      <c r="H383" s="4075"/>
    </row>
    <row r="384" spans="1:8" ht="12.75" customHeight="1">
      <c r="C384" s="1787" t="s">
        <v>4824</v>
      </c>
      <c r="E384" s="4075" t="s">
        <v>3400</v>
      </c>
      <c r="F384" s="4075"/>
      <c r="G384" s="4075"/>
      <c r="H384" s="4075"/>
    </row>
    <row r="385" spans="1:8" ht="12.75" customHeight="1">
      <c r="C385" s="1788"/>
      <c r="D385" s="1785" t="s">
        <v>3238</v>
      </c>
      <c r="E385" s="4142" t="s">
        <v>3401</v>
      </c>
      <c r="F385" s="4142"/>
      <c r="G385" s="4142"/>
      <c r="H385" s="4142"/>
    </row>
    <row r="386" spans="1:8" ht="3" customHeight="1">
      <c r="D386" s="814"/>
      <c r="E386" s="1784"/>
      <c r="F386" s="1784"/>
      <c r="G386" s="1784"/>
      <c r="H386" s="1784"/>
    </row>
    <row r="387" spans="1:8" ht="12.75" customHeight="1">
      <c r="C387" s="779" t="s">
        <v>3139</v>
      </c>
      <c r="D387" s="814" t="s">
        <v>1939</v>
      </c>
      <c r="E387" s="815"/>
      <c r="F387" s="811" t="s">
        <v>3140</v>
      </c>
      <c r="G387" s="811"/>
      <c r="H387" s="811"/>
    </row>
    <row r="388" spans="1:8" ht="12.75" customHeight="1">
      <c r="C388" s="816" t="s">
        <v>1326</v>
      </c>
      <c r="D388" s="814" t="s">
        <v>1941</v>
      </c>
      <c r="E388" s="4075" t="s">
        <v>3239</v>
      </c>
      <c r="F388" s="4075"/>
      <c r="G388" s="4075"/>
      <c r="H388" s="4075"/>
    </row>
    <row r="389" spans="1:8" ht="12.75" customHeight="1">
      <c r="C389" s="1787" t="s">
        <v>4824</v>
      </c>
      <c r="E389" s="4075" t="s">
        <v>3400</v>
      </c>
      <c r="F389" s="4075"/>
      <c r="G389" s="4075"/>
      <c r="H389" s="4075"/>
    </row>
    <row r="390" spans="1:8" ht="12.75" customHeight="1">
      <c r="C390" s="1788"/>
      <c r="D390" s="1786" t="s">
        <v>3238</v>
      </c>
      <c r="E390" s="4141" t="s">
        <v>3401</v>
      </c>
      <c r="F390" s="4141"/>
      <c r="G390" s="4141"/>
      <c r="H390" s="4141"/>
    </row>
    <row r="391" spans="1:8" ht="3" customHeight="1">
      <c r="D391" s="814"/>
      <c r="E391" s="1784"/>
      <c r="F391" s="1784"/>
      <c r="G391" s="1784"/>
      <c r="H391" s="1784"/>
    </row>
    <row r="392" spans="1:8" ht="12.75" customHeight="1">
      <c r="C392" s="779" t="s">
        <v>3139</v>
      </c>
      <c r="D392" s="814" t="s">
        <v>1939</v>
      </c>
      <c r="E392" s="815"/>
      <c r="F392" s="811" t="s">
        <v>3140</v>
      </c>
      <c r="G392" s="811"/>
      <c r="H392" s="811"/>
    </row>
    <row r="393" spans="1:8" ht="12.75" customHeight="1">
      <c r="C393" s="816" t="s">
        <v>1326</v>
      </c>
      <c r="D393" s="814" t="s">
        <v>1941</v>
      </c>
      <c r="E393" s="4075" t="s">
        <v>3239</v>
      </c>
      <c r="F393" s="4075"/>
      <c r="G393" s="4075"/>
      <c r="H393" s="4075"/>
    </row>
    <row r="394" spans="1:8" ht="12.75" customHeight="1">
      <c r="C394" s="1787" t="s">
        <v>4824</v>
      </c>
      <c r="E394" s="4075" t="s">
        <v>3400</v>
      </c>
      <c r="F394" s="4075"/>
      <c r="G394" s="4075"/>
      <c r="H394" s="4075"/>
    </row>
    <row r="395" spans="1:8" ht="12.75" customHeight="1">
      <c r="C395" s="1788"/>
      <c r="D395" s="1786" t="s">
        <v>3238</v>
      </c>
      <c r="E395" s="4141" t="s">
        <v>3401</v>
      </c>
      <c r="F395" s="4141"/>
      <c r="G395" s="4141"/>
      <c r="H395" s="4141"/>
    </row>
    <row r="396" spans="1:8" ht="6" customHeight="1">
      <c r="D396" s="814"/>
      <c r="E396" s="1784"/>
      <c r="F396" s="1784"/>
      <c r="G396" s="1784"/>
      <c r="H396" s="1784"/>
    </row>
    <row r="397" spans="1:8">
      <c r="A397" s="785" t="s">
        <v>3234</v>
      </c>
      <c r="B397" s="812">
        <f>IF('Part VI-Revenues &amp; Expenses'!$N$58=0,"",'Part VI-Revenues &amp; Expenses'!$N$58)</f>
        <v>12</v>
      </c>
      <c r="C397" s="785" t="s">
        <v>3237</v>
      </c>
      <c r="D397" s="813" t="s">
        <v>3404</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4075" t="s">
        <v>3239</v>
      </c>
      <c r="F400" s="4075"/>
      <c r="G400" s="4075"/>
      <c r="H400" s="4075"/>
    </row>
    <row r="401" spans="1:11" ht="12.75" customHeight="1">
      <c r="C401" s="1787" t="s">
        <v>4824</v>
      </c>
      <c r="E401" s="4075" t="s">
        <v>3400</v>
      </c>
      <c r="F401" s="4075"/>
      <c r="G401" s="4075"/>
      <c r="H401" s="4075"/>
    </row>
    <row r="402" spans="1:11" ht="12.75" customHeight="1">
      <c r="C402" s="1788"/>
      <c r="D402" s="1785" t="s">
        <v>3238</v>
      </c>
      <c r="E402" s="4142" t="s">
        <v>3401</v>
      </c>
      <c r="F402" s="4142"/>
      <c r="G402" s="4142"/>
      <c r="H402" s="4142"/>
    </row>
    <row r="403" spans="1:11" ht="3" customHeight="1">
      <c r="D403" s="814"/>
      <c r="E403" s="1784"/>
      <c r="F403" s="1784"/>
      <c r="G403" s="1784"/>
      <c r="H403" s="1784"/>
    </row>
    <row r="404" spans="1:11" ht="12.75" customHeight="1">
      <c r="C404" s="779" t="s">
        <v>3139</v>
      </c>
      <c r="D404" s="814" t="s">
        <v>1939</v>
      </c>
      <c r="E404" s="815"/>
      <c r="F404" s="811" t="s">
        <v>3140</v>
      </c>
      <c r="G404" s="811"/>
      <c r="H404" s="811"/>
    </row>
    <row r="405" spans="1:11" ht="12.75" customHeight="1">
      <c r="C405" s="816" t="s">
        <v>1326</v>
      </c>
      <c r="D405" s="814" t="s">
        <v>1941</v>
      </c>
      <c r="E405" s="4075" t="s">
        <v>3239</v>
      </c>
      <c r="F405" s="4075"/>
      <c r="G405" s="4075"/>
      <c r="H405" s="4075"/>
    </row>
    <row r="406" spans="1:11" ht="12.75" customHeight="1">
      <c r="C406" s="1787" t="s">
        <v>4824</v>
      </c>
      <c r="E406" s="4075" t="s">
        <v>3400</v>
      </c>
      <c r="F406" s="4075"/>
      <c r="G406" s="4075"/>
      <c r="H406" s="4075"/>
    </row>
    <row r="407" spans="1:11" ht="12.75" customHeight="1">
      <c r="C407" s="1788"/>
      <c r="D407" s="1786" t="s">
        <v>3238</v>
      </c>
      <c r="E407" s="4141" t="s">
        <v>3401</v>
      </c>
      <c r="F407" s="4141"/>
      <c r="G407" s="4141"/>
      <c r="H407" s="4141"/>
    </row>
    <row r="408" spans="1:11" ht="3" customHeight="1">
      <c r="D408" s="814"/>
      <c r="E408" s="1784"/>
      <c r="F408" s="1784"/>
      <c r="G408" s="1784"/>
      <c r="H408" s="1784"/>
    </row>
    <row r="409" spans="1:11" ht="12.75" customHeight="1">
      <c r="C409" s="779" t="s">
        <v>3139</v>
      </c>
      <c r="D409" s="814" t="s">
        <v>1939</v>
      </c>
      <c r="E409" s="815"/>
      <c r="F409" s="811" t="s">
        <v>3140</v>
      </c>
      <c r="G409" s="811"/>
      <c r="H409" s="811"/>
    </row>
    <row r="410" spans="1:11" ht="12.75" customHeight="1">
      <c r="C410" s="816" t="s">
        <v>1326</v>
      </c>
      <c r="D410" s="814" t="s">
        <v>1941</v>
      </c>
      <c r="E410" s="4075" t="s">
        <v>3239</v>
      </c>
      <c r="F410" s="4075"/>
      <c r="G410" s="4075"/>
      <c r="H410" s="4075"/>
    </row>
    <row r="411" spans="1:11" ht="12.75" customHeight="1">
      <c r="C411" s="1787" t="s">
        <v>4824</v>
      </c>
      <c r="E411" s="4075" t="s">
        <v>3400</v>
      </c>
      <c r="F411" s="4075"/>
      <c r="G411" s="4075"/>
      <c r="H411" s="4075"/>
    </row>
    <row r="412" spans="1:11" ht="12.75" customHeight="1">
      <c r="C412" s="1788"/>
      <c r="D412" s="1786" t="s">
        <v>3238</v>
      </c>
      <c r="E412" s="4141" t="s">
        <v>3401</v>
      </c>
      <c r="F412" s="4141"/>
      <c r="G412" s="4141"/>
      <c r="H412" s="4141"/>
    </row>
    <row r="413" spans="1:11" ht="6" customHeight="1">
      <c r="D413" s="814"/>
      <c r="E413" s="1784"/>
      <c r="F413" s="1784"/>
      <c r="G413" s="1784"/>
      <c r="H413" s="1784"/>
    </row>
    <row r="414" spans="1:11">
      <c r="A414" s="785" t="s">
        <v>3234</v>
      </c>
      <c r="B414" s="812" t="str">
        <f>IF('Part VI-Revenues &amp; Expenses'!$O$58=0,"",'Part VI-Revenues &amp; Expenses'!$O$58)</f>
        <v/>
      </c>
      <c r="C414" s="785" t="s">
        <v>4822</v>
      </c>
      <c r="D414" s="813" t="s">
        <v>4823</v>
      </c>
    </row>
    <row r="415" spans="1:11" ht="1.95" customHeight="1"/>
    <row r="416" spans="1:11" ht="12.75" customHeight="1">
      <c r="C416" s="779" t="s">
        <v>3139</v>
      </c>
      <c r="D416" s="814" t="s">
        <v>1939</v>
      </c>
      <c r="E416" s="815"/>
      <c r="F416" s="4075" t="s">
        <v>3140</v>
      </c>
      <c r="G416" s="4075"/>
      <c r="H416" s="4075"/>
      <c r="K416" s="730" t="s">
        <v>238</v>
      </c>
    </row>
    <row r="417" spans="1:8" ht="12.75" customHeight="1">
      <c r="C417" s="816" t="s">
        <v>1326</v>
      </c>
      <c r="D417" s="814" t="s">
        <v>1941</v>
      </c>
      <c r="E417" s="4075" t="s">
        <v>3240</v>
      </c>
      <c r="F417" s="4075"/>
      <c r="G417" s="4075"/>
      <c r="H417" s="4075"/>
    </row>
    <row r="418" spans="1:8" ht="12.75" customHeight="1">
      <c r="E418" s="4075" t="s">
        <v>3400</v>
      </c>
      <c r="F418" s="4075"/>
      <c r="G418" s="4075"/>
      <c r="H418" s="4075"/>
    </row>
    <row r="419" spans="1:8" ht="12.75" customHeight="1">
      <c r="D419" s="817" t="s">
        <v>3238</v>
      </c>
      <c r="E419" s="4075" t="s">
        <v>3401</v>
      </c>
      <c r="F419" s="4075"/>
      <c r="G419" s="4075"/>
      <c r="H419" s="4075"/>
    </row>
    <row r="420" spans="1:8" ht="9" customHeight="1" thickBot="1"/>
    <row r="421" spans="1:8" ht="16.2" customHeight="1" thickBot="1">
      <c r="A421" s="4139">
        <v>70</v>
      </c>
      <c r="B421" s="4140"/>
      <c r="C421" s="1789" t="s">
        <v>1018</v>
      </c>
    </row>
    <row r="422" spans="1:8" ht="9" customHeight="1">
      <c r="A422" s="752"/>
    </row>
    <row r="423" spans="1:8" ht="28.2" customHeight="1">
      <c r="A423" s="4143" t="s">
        <v>4830</v>
      </c>
      <c r="B423" s="4143"/>
      <c r="C423" s="4143"/>
      <c r="D423" s="4143"/>
      <c r="E423" s="4143"/>
      <c r="F423" s="4143"/>
      <c r="G423" s="4143"/>
      <c r="H423" s="4143"/>
    </row>
    <row r="424" spans="1:8" ht="9" customHeight="1">
      <c r="A424" s="752"/>
    </row>
    <row r="425" spans="1:8">
      <c r="A425" s="785" t="s">
        <v>3234</v>
      </c>
      <c r="B425" s="812" t="str">
        <f>IF('Part VI-Revenues &amp; Expenses'!$K$57=0,"",'Part VI-Revenues &amp; Expenses'!$K$57)</f>
        <v/>
      </c>
      <c r="C425" s="785" t="s">
        <v>4819</v>
      </c>
      <c r="D425" s="813" t="s">
        <v>4820</v>
      </c>
    </row>
    <row r="426" spans="1:8" ht="1.95" customHeight="1"/>
    <row r="427" spans="1:8" ht="12.75" customHeight="1">
      <c r="C427" s="779" t="s">
        <v>3139</v>
      </c>
      <c r="D427" s="814" t="s">
        <v>1939</v>
      </c>
      <c r="E427" s="815"/>
      <c r="F427" s="4075" t="s">
        <v>3140</v>
      </c>
      <c r="G427" s="4075"/>
      <c r="H427" s="4075"/>
    </row>
    <row r="428" spans="1:8" ht="12.75" customHeight="1">
      <c r="C428" s="816" t="s">
        <v>1326</v>
      </c>
      <c r="D428" s="814" t="s">
        <v>1941</v>
      </c>
      <c r="E428" s="4075" t="s">
        <v>3239</v>
      </c>
      <c r="F428" s="4075"/>
      <c r="G428" s="4075"/>
      <c r="H428" s="4075"/>
    </row>
    <row r="429" spans="1:8" ht="12.75" customHeight="1">
      <c r="C429" s="1787" t="s">
        <v>4824</v>
      </c>
      <c r="E429" s="4075" t="s">
        <v>3400</v>
      </c>
      <c r="F429" s="4075"/>
      <c r="G429" s="4075"/>
      <c r="H429" s="4075"/>
    </row>
    <row r="430" spans="1:8" ht="12.75" customHeight="1">
      <c r="C430" s="1788"/>
      <c r="D430" s="1786" t="s">
        <v>3238</v>
      </c>
      <c r="E430" s="4141" t="s">
        <v>3401</v>
      </c>
      <c r="F430" s="4141"/>
      <c r="G430" s="4141"/>
      <c r="H430" s="4141"/>
    </row>
    <row r="431" spans="1:8" ht="3" customHeight="1">
      <c r="D431" s="814"/>
      <c r="E431" s="1784"/>
      <c r="F431" s="1784"/>
      <c r="G431" s="1784"/>
      <c r="H431" s="1784"/>
    </row>
    <row r="432" spans="1:8" ht="12.75" customHeight="1">
      <c r="C432" s="779" t="s">
        <v>3139</v>
      </c>
      <c r="D432" s="814" t="s">
        <v>1939</v>
      </c>
      <c r="E432" s="815"/>
      <c r="F432" s="811" t="s">
        <v>3140</v>
      </c>
      <c r="G432" s="811"/>
      <c r="H432" s="811"/>
    </row>
    <row r="433" spans="1:8" ht="12.75" customHeight="1">
      <c r="C433" s="816" t="s">
        <v>1326</v>
      </c>
      <c r="D433" s="814" t="s">
        <v>1941</v>
      </c>
      <c r="E433" s="4075" t="s">
        <v>3239</v>
      </c>
      <c r="F433" s="4075"/>
      <c r="G433" s="4075"/>
      <c r="H433" s="4075"/>
    </row>
    <row r="434" spans="1:8" ht="12.75" customHeight="1">
      <c r="C434" s="1787" t="s">
        <v>4824</v>
      </c>
      <c r="E434" s="4075" t="s">
        <v>3400</v>
      </c>
      <c r="F434" s="4075"/>
      <c r="G434" s="4075"/>
      <c r="H434" s="4075"/>
    </row>
    <row r="435" spans="1:8" ht="12.75" customHeight="1">
      <c r="C435" s="1788"/>
      <c r="D435" s="1786" t="s">
        <v>3238</v>
      </c>
      <c r="E435" s="4141" t="s">
        <v>3401</v>
      </c>
      <c r="F435" s="4141"/>
      <c r="G435" s="4141"/>
      <c r="H435" s="4141"/>
    </row>
    <row r="436" spans="1:8" ht="3" customHeight="1">
      <c r="D436" s="814"/>
      <c r="E436" s="1784"/>
      <c r="F436" s="1784"/>
      <c r="G436" s="1784"/>
      <c r="H436" s="1784"/>
    </row>
    <row r="437" spans="1:8" ht="12.75" customHeight="1">
      <c r="C437" s="779" t="s">
        <v>3139</v>
      </c>
      <c r="D437" s="814" t="s">
        <v>1939</v>
      </c>
      <c r="E437" s="815"/>
      <c r="F437" s="811" t="s">
        <v>3140</v>
      </c>
      <c r="G437" s="811"/>
      <c r="H437" s="811"/>
    </row>
    <row r="438" spans="1:8" ht="12.75" customHeight="1">
      <c r="C438" s="816" t="s">
        <v>1326</v>
      </c>
      <c r="D438" s="814" t="s">
        <v>1941</v>
      </c>
      <c r="E438" s="4075" t="s">
        <v>3239</v>
      </c>
      <c r="F438" s="4075"/>
      <c r="G438" s="4075"/>
      <c r="H438" s="4075"/>
    </row>
    <row r="439" spans="1:8" ht="12.75" customHeight="1">
      <c r="C439" s="1787" t="s">
        <v>4824</v>
      </c>
      <c r="E439" s="4075" t="s">
        <v>3400</v>
      </c>
      <c r="F439" s="4075"/>
      <c r="G439" s="4075"/>
      <c r="H439" s="4075"/>
    </row>
    <row r="440" spans="1:8" ht="12.75" customHeight="1">
      <c r="C440" s="1788"/>
      <c r="D440" s="1786" t="s">
        <v>3238</v>
      </c>
      <c r="E440" s="4141" t="s">
        <v>3401</v>
      </c>
      <c r="F440" s="4141"/>
      <c r="G440" s="4141"/>
      <c r="H440" s="4141"/>
    </row>
    <row r="441" spans="1:8" ht="6" customHeight="1">
      <c r="D441" s="814"/>
      <c r="E441" s="1784"/>
      <c r="F441" s="1784"/>
      <c r="G441" s="1784"/>
      <c r="H441" s="1784"/>
    </row>
    <row r="442" spans="1:8">
      <c r="A442" s="785" t="s">
        <v>3234</v>
      </c>
      <c r="B442" s="812" t="str">
        <f>IF('Part VI-Revenues &amp; Expenses'!$L$57=0,"",'Part VI-Revenues &amp; Expenses'!$L$57)</f>
        <v/>
      </c>
      <c r="C442" s="785" t="s">
        <v>3235</v>
      </c>
      <c r="D442" s="813" t="s">
        <v>3402</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4075" t="s">
        <v>3239</v>
      </c>
      <c r="F445" s="4075"/>
      <c r="G445" s="4075"/>
      <c r="H445" s="4075"/>
    </row>
    <row r="446" spans="1:8" ht="12.75" customHeight="1">
      <c r="C446" s="1787" t="s">
        <v>4824</v>
      </c>
      <c r="E446" s="4075" t="s">
        <v>3400</v>
      </c>
      <c r="F446" s="4075"/>
      <c r="G446" s="4075"/>
      <c r="H446" s="4075"/>
    </row>
    <row r="447" spans="1:8" ht="12.75" customHeight="1">
      <c r="C447" s="1788"/>
      <c r="D447" s="1785" t="s">
        <v>3238</v>
      </c>
      <c r="E447" s="4142" t="s">
        <v>3401</v>
      </c>
      <c r="F447" s="4142"/>
      <c r="G447" s="4142"/>
      <c r="H447" s="4142"/>
    </row>
    <row r="448" spans="1:8" ht="3" customHeight="1">
      <c r="D448" s="814"/>
      <c r="E448" s="1784"/>
      <c r="F448" s="1784"/>
      <c r="G448" s="1784"/>
      <c r="H448" s="1784"/>
    </row>
    <row r="449" spans="1:8" ht="12.75" customHeight="1">
      <c r="C449" s="779" t="s">
        <v>3139</v>
      </c>
      <c r="D449" s="814" t="s">
        <v>1939</v>
      </c>
      <c r="E449" s="815"/>
      <c r="F449" s="811" t="s">
        <v>3140</v>
      </c>
      <c r="G449" s="811"/>
      <c r="H449" s="811"/>
    </row>
    <row r="450" spans="1:8" ht="12.75" customHeight="1">
      <c r="C450" s="816" t="s">
        <v>1326</v>
      </c>
      <c r="D450" s="814" t="s">
        <v>1941</v>
      </c>
      <c r="E450" s="4075" t="s">
        <v>3239</v>
      </c>
      <c r="F450" s="4075"/>
      <c r="G450" s="4075"/>
      <c r="H450" s="4075"/>
    </row>
    <row r="451" spans="1:8" ht="12.75" customHeight="1">
      <c r="C451" s="1787" t="s">
        <v>4824</v>
      </c>
      <c r="E451" s="4075" t="s">
        <v>3400</v>
      </c>
      <c r="F451" s="4075"/>
      <c r="G451" s="4075"/>
      <c r="H451" s="4075"/>
    </row>
    <row r="452" spans="1:8" ht="12.75" customHeight="1">
      <c r="C452" s="1788"/>
      <c r="D452" s="1786" t="s">
        <v>3238</v>
      </c>
      <c r="E452" s="4141" t="s">
        <v>3401</v>
      </c>
      <c r="F452" s="4141"/>
      <c r="G452" s="4141"/>
      <c r="H452" s="4141"/>
    </row>
    <row r="453" spans="1:8" ht="3" customHeight="1">
      <c r="D453" s="814"/>
      <c r="E453" s="1784"/>
      <c r="F453" s="1784"/>
      <c r="G453" s="1784"/>
      <c r="H453" s="1784"/>
    </row>
    <row r="454" spans="1:8" ht="12.75" customHeight="1">
      <c r="C454" s="779" t="s">
        <v>3139</v>
      </c>
      <c r="D454" s="814" t="s">
        <v>1939</v>
      </c>
      <c r="E454" s="815"/>
      <c r="F454" s="811" t="s">
        <v>3140</v>
      </c>
      <c r="G454" s="811"/>
      <c r="H454" s="811"/>
    </row>
    <row r="455" spans="1:8" ht="12.75" customHeight="1">
      <c r="C455" s="816" t="s">
        <v>1326</v>
      </c>
      <c r="D455" s="814" t="s">
        <v>1941</v>
      </c>
      <c r="E455" s="4075" t="s">
        <v>3239</v>
      </c>
      <c r="F455" s="4075"/>
      <c r="G455" s="4075"/>
      <c r="H455" s="4075"/>
    </row>
    <row r="456" spans="1:8" ht="12.75" customHeight="1">
      <c r="C456" s="1787" t="s">
        <v>4824</v>
      </c>
      <c r="E456" s="4075" t="s">
        <v>3400</v>
      </c>
      <c r="F456" s="4075"/>
      <c r="G456" s="4075"/>
      <c r="H456" s="4075"/>
    </row>
    <row r="457" spans="1:8" ht="12.75" customHeight="1">
      <c r="C457" s="1788"/>
      <c r="D457" s="1786" t="s">
        <v>3238</v>
      </c>
      <c r="E457" s="4141" t="s">
        <v>3401</v>
      </c>
      <c r="F457" s="4141"/>
      <c r="G457" s="4141"/>
      <c r="H457" s="4141"/>
    </row>
    <row r="458" spans="1:8" ht="6" customHeight="1">
      <c r="D458" s="814"/>
      <c r="E458" s="1784"/>
      <c r="F458" s="1784"/>
      <c r="G458" s="1784"/>
      <c r="H458" s="1784"/>
    </row>
    <row r="459" spans="1:8">
      <c r="A459" s="785" t="s">
        <v>3234</v>
      </c>
      <c r="B459" s="812" t="str">
        <f>IF('Part VI-Revenues &amp; Expenses'!$M$57=0,"",'Part VI-Revenues &amp; Expenses'!$M$57)</f>
        <v/>
      </c>
      <c r="C459" s="785" t="s">
        <v>3236</v>
      </c>
      <c r="D459" s="813" t="s">
        <v>3403</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4075" t="s">
        <v>3239</v>
      </c>
      <c r="F462" s="4075"/>
      <c r="G462" s="4075"/>
      <c r="H462" s="4075"/>
    </row>
    <row r="463" spans="1:8" ht="12.75" customHeight="1">
      <c r="C463" s="1787" t="s">
        <v>4824</v>
      </c>
      <c r="E463" s="4075" t="s">
        <v>3400</v>
      </c>
      <c r="F463" s="4075"/>
      <c r="G463" s="4075"/>
      <c r="H463" s="4075"/>
    </row>
    <row r="464" spans="1:8" ht="12.75" customHeight="1">
      <c r="C464" s="1788"/>
      <c r="D464" s="1785" t="s">
        <v>3238</v>
      </c>
      <c r="E464" s="4142" t="s">
        <v>3401</v>
      </c>
      <c r="F464" s="4142"/>
      <c r="G464" s="4142"/>
      <c r="H464" s="4142"/>
    </row>
    <row r="465" spans="1:8" ht="3" customHeight="1">
      <c r="D465" s="814"/>
      <c r="E465" s="1784"/>
      <c r="F465" s="1784"/>
      <c r="G465" s="1784"/>
      <c r="H465" s="1784"/>
    </row>
    <row r="466" spans="1:8" ht="12.75" customHeight="1">
      <c r="C466" s="779" t="s">
        <v>3139</v>
      </c>
      <c r="D466" s="814" t="s">
        <v>1939</v>
      </c>
      <c r="E466" s="815"/>
      <c r="F466" s="811" t="s">
        <v>3140</v>
      </c>
      <c r="G466" s="811"/>
      <c r="H466" s="811"/>
    </row>
    <row r="467" spans="1:8" ht="12.75" customHeight="1">
      <c r="C467" s="816" t="s">
        <v>1326</v>
      </c>
      <c r="D467" s="814" t="s">
        <v>1941</v>
      </c>
      <c r="E467" s="4075" t="s">
        <v>3239</v>
      </c>
      <c r="F467" s="4075"/>
      <c r="G467" s="4075"/>
      <c r="H467" s="4075"/>
    </row>
    <row r="468" spans="1:8" ht="12.75" customHeight="1">
      <c r="C468" s="1787" t="s">
        <v>4824</v>
      </c>
      <c r="E468" s="4075" t="s">
        <v>3400</v>
      </c>
      <c r="F468" s="4075"/>
      <c r="G468" s="4075"/>
      <c r="H468" s="4075"/>
    </row>
    <row r="469" spans="1:8" ht="12.75" customHeight="1">
      <c r="C469" s="1788"/>
      <c r="D469" s="1786" t="s">
        <v>3238</v>
      </c>
      <c r="E469" s="4141" t="s">
        <v>3401</v>
      </c>
      <c r="F469" s="4141"/>
      <c r="G469" s="4141"/>
      <c r="H469" s="4141"/>
    </row>
    <row r="470" spans="1:8" ht="3" customHeight="1">
      <c r="D470" s="814"/>
      <c r="E470" s="1784"/>
      <c r="F470" s="1784"/>
      <c r="G470" s="1784"/>
      <c r="H470" s="1784"/>
    </row>
    <row r="471" spans="1:8" ht="12.75" customHeight="1">
      <c r="C471" s="779" t="s">
        <v>3139</v>
      </c>
      <c r="D471" s="814" t="s">
        <v>1939</v>
      </c>
      <c r="E471" s="815"/>
      <c r="F471" s="811" t="s">
        <v>3140</v>
      </c>
      <c r="G471" s="811"/>
      <c r="H471" s="811"/>
    </row>
    <row r="472" spans="1:8" ht="12.75" customHeight="1">
      <c r="C472" s="816" t="s">
        <v>1326</v>
      </c>
      <c r="D472" s="814" t="s">
        <v>1941</v>
      </c>
      <c r="E472" s="4075" t="s">
        <v>3239</v>
      </c>
      <c r="F472" s="4075"/>
      <c r="G472" s="4075"/>
      <c r="H472" s="4075"/>
    </row>
    <row r="473" spans="1:8" ht="12.75" customHeight="1">
      <c r="C473" s="1787" t="s">
        <v>4824</v>
      </c>
      <c r="E473" s="4075" t="s">
        <v>3400</v>
      </c>
      <c r="F473" s="4075"/>
      <c r="G473" s="4075"/>
      <c r="H473" s="4075"/>
    </row>
    <row r="474" spans="1:8" ht="12.75" customHeight="1">
      <c r="C474" s="1788"/>
      <c r="D474" s="1786" t="s">
        <v>3238</v>
      </c>
      <c r="E474" s="4141" t="s">
        <v>3401</v>
      </c>
      <c r="F474" s="4141"/>
      <c r="G474" s="4141"/>
      <c r="H474" s="4141"/>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3404</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4075" t="s">
        <v>3239</v>
      </c>
      <c r="F479" s="4075"/>
      <c r="G479" s="4075"/>
      <c r="H479" s="4075"/>
    </row>
    <row r="480" spans="1:8" ht="12.75" customHeight="1">
      <c r="C480" s="1787" t="s">
        <v>4824</v>
      </c>
      <c r="E480" s="4075" t="s">
        <v>3400</v>
      </c>
      <c r="F480" s="4075"/>
      <c r="G480" s="4075"/>
      <c r="H480" s="4075"/>
    </row>
    <row r="481" spans="1:11" ht="12.75" customHeight="1">
      <c r="C481" s="1788"/>
      <c r="D481" s="1785" t="s">
        <v>3238</v>
      </c>
      <c r="E481" s="4142" t="s">
        <v>3401</v>
      </c>
      <c r="F481" s="4142"/>
      <c r="G481" s="4142"/>
      <c r="H481" s="4142"/>
    </row>
    <row r="482" spans="1:11" ht="3" customHeight="1">
      <c r="D482" s="814"/>
      <c r="E482" s="1784"/>
      <c r="F482" s="1784"/>
      <c r="G482" s="1784"/>
      <c r="H482" s="1784"/>
    </row>
    <row r="483" spans="1:11" ht="12.75" customHeight="1">
      <c r="C483" s="779" t="s">
        <v>3139</v>
      </c>
      <c r="D483" s="814" t="s">
        <v>1939</v>
      </c>
      <c r="E483" s="815"/>
      <c r="F483" s="811" t="s">
        <v>3140</v>
      </c>
      <c r="G483" s="811"/>
      <c r="H483" s="811"/>
    </row>
    <row r="484" spans="1:11" ht="12.75" customHeight="1">
      <c r="C484" s="816" t="s">
        <v>1326</v>
      </c>
      <c r="D484" s="814" t="s">
        <v>1941</v>
      </c>
      <c r="E484" s="4075" t="s">
        <v>3239</v>
      </c>
      <c r="F484" s="4075"/>
      <c r="G484" s="4075"/>
      <c r="H484" s="4075"/>
    </row>
    <row r="485" spans="1:11" ht="12.75" customHeight="1">
      <c r="C485" s="1787" t="s">
        <v>4824</v>
      </c>
      <c r="E485" s="4075" t="s">
        <v>3400</v>
      </c>
      <c r="F485" s="4075"/>
      <c r="G485" s="4075"/>
      <c r="H485" s="4075"/>
    </row>
    <row r="486" spans="1:11" ht="12.75" customHeight="1">
      <c r="C486" s="1788"/>
      <c r="D486" s="1786" t="s">
        <v>3238</v>
      </c>
      <c r="E486" s="4141" t="s">
        <v>3401</v>
      </c>
      <c r="F486" s="4141"/>
      <c r="G486" s="4141"/>
      <c r="H486" s="4141"/>
    </row>
    <row r="487" spans="1:11" ht="3" customHeight="1">
      <c r="D487" s="814"/>
      <c r="E487" s="1784"/>
      <c r="F487" s="1784"/>
      <c r="G487" s="1784"/>
      <c r="H487" s="1784"/>
    </row>
    <row r="488" spans="1:11" ht="12.75" customHeight="1">
      <c r="C488" s="779" t="s">
        <v>3139</v>
      </c>
      <c r="D488" s="814" t="s">
        <v>1939</v>
      </c>
      <c r="E488" s="815"/>
      <c r="F488" s="811" t="s">
        <v>3140</v>
      </c>
      <c r="G488" s="811"/>
      <c r="H488" s="811"/>
    </row>
    <row r="489" spans="1:11" ht="12.75" customHeight="1">
      <c r="C489" s="816" t="s">
        <v>1326</v>
      </c>
      <c r="D489" s="814" t="s">
        <v>1941</v>
      </c>
      <c r="E489" s="4075" t="s">
        <v>3239</v>
      </c>
      <c r="F489" s="4075"/>
      <c r="G489" s="4075"/>
      <c r="H489" s="4075"/>
    </row>
    <row r="490" spans="1:11" ht="12.75" customHeight="1">
      <c r="C490" s="1787" t="s">
        <v>4824</v>
      </c>
      <c r="E490" s="4075" t="s">
        <v>3400</v>
      </c>
      <c r="F490" s="4075"/>
      <c r="G490" s="4075"/>
      <c r="H490" s="4075"/>
    </row>
    <row r="491" spans="1:11" ht="12.75" customHeight="1">
      <c r="C491" s="1788"/>
      <c r="D491" s="1786" t="s">
        <v>3238</v>
      </c>
      <c r="E491" s="4141" t="s">
        <v>3401</v>
      </c>
      <c r="F491" s="4141"/>
      <c r="G491" s="4141"/>
      <c r="H491" s="4141"/>
    </row>
    <row r="492" spans="1:11" ht="6" customHeight="1">
      <c r="D492" s="814"/>
      <c r="E492" s="1784"/>
      <c r="F492" s="1784"/>
      <c r="G492" s="1784"/>
      <c r="H492" s="1784"/>
    </row>
    <row r="493" spans="1:11">
      <c r="A493" s="785" t="s">
        <v>3234</v>
      </c>
      <c r="B493" s="812" t="str">
        <f>IF('Part VI-Revenues &amp; Expenses'!$O$57=0,"",'Part VI-Revenues &amp; Expenses'!$O$57)</f>
        <v/>
      </c>
      <c r="C493" s="785" t="s">
        <v>4822</v>
      </c>
      <c r="D493" s="813" t="s">
        <v>4823</v>
      </c>
    </row>
    <row r="494" spans="1:11" ht="1.95" customHeight="1"/>
    <row r="495" spans="1:11" ht="12.75" customHeight="1">
      <c r="C495" s="779" t="s">
        <v>3139</v>
      </c>
      <c r="D495" s="814" t="s">
        <v>1939</v>
      </c>
      <c r="E495" s="815"/>
      <c r="F495" s="4075" t="s">
        <v>3140</v>
      </c>
      <c r="G495" s="4075"/>
      <c r="H495" s="4075"/>
      <c r="K495" s="730" t="s">
        <v>238</v>
      </c>
    </row>
    <row r="496" spans="1:11" ht="12.75" customHeight="1">
      <c r="C496" s="816" t="s">
        <v>1326</v>
      </c>
      <c r="D496" s="814" t="s">
        <v>1941</v>
      </c>
      <c r="E496" s="4075" t="s">
        <v>3240</v>
      </c>
      <c r="F496" s="4075"/>
      <c r="G496" s="4075"/>
      <c r="H496" s="4075"/>
    </row>
    <row r="497" spans="1:8" ht="12.75" customHeight="1">
      <c r="E497" s="4075" t="s">
        <v>3400</v>
      </c>
      <c r="F497" s="4075"/>
      <c r="G497" s="4075"/>
      <c r="H497" s="4075"/>
    </row>
    <row r="498" spans="1:8" ht="12.75" customHeight="1">
      <c r="D498" s="817" t="s">
        <v>3238</v>
      </c>
      <c r="E498" s="4075" t="s">
        <v>3401</v>
      </c>
      <c r="F498" s="4075"/>
      <c r="G498" s="4075"/>
      <c r="H498" s="4075"/>
    </row>
    <row r="499" spans="1:8" ht="9" customHeight="1" thickBot="1"/>
    <row r="500" spans="1:8" ht="16.2" customHeight="1" thickBot="1">
      <c r="A500" s="4139">
        <v>80</v>
      </c>
      <c r="B500" s="4140"/>
      <c r="C500" s="1789" t="s">
        <v>1018</v>
      </c>
    </row>
    <row r="501" spans="1:8" ht="9" customHeight="1">
      <c r="A501" s="752"/>
    </row>
    <row r="502" spans="1:8" ht="28.2" customHeight="1">
      <c r="A502" s="4143" t="s">
        <v>4831</v>
      </c>
      <c r="B502" s="4143"/>
      <c r="C502" s="4143"/>
      <c r="D502" s="4143"/>
      <c r="E502" s="4143"/>
      <c r="F502" s="4143"/>
      <c r="G502" s="4143"/>
      <c r="H502" s="4143"/>
    </row>
    <row r="503" spans="1:8" ht="9" customHeight="1">
      <c r="A503" s="752"/>
    </row>
    <row r="504" spans="1:8">
      <c r="A504" s="785" t="s">
        <v>3234</v>
      </c>
      <c r="B504" s="812" t="str">
        <f>IF('Part VI-Revenues &amp; Expenses'!$K$56=0,"",'Part VI-Revenues &amp; Expenses'!$K$56)</f>
        <v/>
      </c>
      <c r="C504" s="785" t="s">
        <v>4819</v>
      </c>
      <c r="D504" s="813" t="s">
        <v>4820</v>
      </c>
    </row>
    <row r="505" spans="1:8" ht="1.95" customHeight="1"/>
    <row r="506" spans="1:8" ht="12.75" customHeight="1">
      <c r="C506" s="779" t="s">
        <v>3139</v>
      </c>
      <c r="D506" s="814" t="s">
        <v>1939</v>
      </c>
      <c r="E506" s="815"/>
      <c r="F506" s="4075" t="s">
        <v>3140</v>
      </c>
      <c r="G506" s="4075"/>
      <c r="H506" s="4075"/>
    </row>
    <row r="507" spans="1:8" ht="12.75" customHeight="1">
      <c r="C507" s="816" t="s">
        <v>1326</v>
      </c>
      <c r="D507" s="814" t="s">
        <v>1941</v>
      </c>
      <c r="E507" s="4075" t="s">
        <v>3239</v>
      </c>
      <c r="F507" s="4075"/>
      <c r="G507" s="4075"/>
      <c r="H507" s="4075"/>
    </row>
    <row r="508" spans="1:8" ht="12.75" customHeight="1">
      <c r="C508" s="1787" t="s">
        <v>4824</v>
      </c>
      <c r="E508" s="4075" t="s">
        <v>3400</v>
      </c>
      <c r="F508" s="4075"/>
      <c r="G508" s="4075"/>
      <c r="H508" s="4075"/>
    </row>
    <row r="509" spans="1:8" ht="12.75" customHeight="1">
      <c r="C509" s="1788"/>
      <c r="D509" s="1786" t="s">
        <v>3238</v>
      </c>
      <c r="E509" s="4141" t="s">
        <v>3401</v>
      </c>
      <c r="F509" s="4141"/>
      <c r="G509" s="4141"/>
      <c r="H509" s="4141"/>
    </row>
    <row r="510" spans="1:8" ht="3" customHeight="1">
      <c r="D510" s="814"/>
      <c r="E510" s="1784"/>
      <c r="F510" s="1784"/>
      <c r="G510" s="1784"/>
      <c r="H510" s="1784"/>
    </row>
    <row r="511" spans="1:8" ht="12.75" customHeight="1">
      <c r="C511" s="779" t="s">
        <v>3139</v>
      </c>
      <c r="D511" s="814" t="s">
        <v>1939</v>
      </c>
      <c r="E511" s="815"/>
      <c r="F511" s="811" t="s">
        <v>3140</v>
      </c>
      <c r="G511" s="811"/>
      <c r="H511" s="811"/>
    </row>
    <row r="512" spans="1:8" ht="12.75" customHeight="1">
      <c r="C512" s="816" t="s">
        <v>1326</v>
      </c>
      <c r="D512" s="814" t="s">
        <v>1941</v>
      </c>
      <c r="E512" s="4075" t="s">
        <v>3239</v>
      </c>
      <c r="F512" s="4075"/>
      <c r="G512" s="4075"/>
      <c r="H512" s="4075"/>
    </row>
    <row r="513" spans="1:8" ht="12.75" customHeight="1">
      <c r="C513" s="1787" t="s">
        <v>4824</v>
      </c>
      <c r="E513" s="4075" t="s">
        <v>3400</v>
      </c>
      <c r="F513" s="4075"/>
      <c r="G513" s="4075"/>
      <c r="H513" s="4075"/>
    </row>
    <row r="514" spans="1:8" ht="12.75" customHeight="1">
      <c r="C514" s="1788"/>
      <c r="D514" s="1786" t="s">
        <v>3238</v>
      </c>
      <c r="E514" s="4141" t="s">
        <v>3401</v>
      </c>
      <c r="F514" s="4141"/>
      <c r="G514" s="4141"/>
      <c r="H514" s="4141"/>
    </row>
    <row r="515" spans="1:8" ht="3" customHeight="1">
      <c r="D515" s="814"/>
      <c r="E515" s="1784"/>
      <c r="F515" s="1784"/>
      <c r="G515" s="1784"/>
      <c r="H515" s="1784"/>
    </row>
    <row r="516" spans="1:8" ht="12.75" customHeight="1">
      <c r="C516" s="779" t="s">
        <v>3139</v>
      </c>
      <c r="D516" s="814" t="s">
        <v>1939</v>
      </c>
      <c r="E516" s="815"/>
      <c r="F516" s="811" t="s">
        <v>3140</v>
      </c>
      <c r="G516" s="811"/>
      <c r="H516" s="811"/>
    </row>
    <row r="517" spans="1:8" ht="12.75" customHeight="1">
      <c r="C517" s="816" t="s">
        <v>1326</v>
      </c>
      <c r="D517" s="814" t="s">
        <v>1941</v>
      </c>
      <c r="E517" s="4075" t="s">
        <v>3239</v>
      </c>
      <c r="F517" s="4075"/>
      <c r="G517" s="4075"/>
      <c r="H517" s="4075"/>
    </row>
    <row r="518" spans="1:8" ht="12.75" customHeight="1">
      <c r="C518" s="1787" t="s">
        <v>4824</v>
      </c>
      <c r="E518" s="4075" t="s">
        <v>3400</v>
      </c>
      <c r="F518" s="4075"/>
      <c r="G518" s="4075"/>
      <c r="H518" s="4075"/>
    </row>
    <row r="519" spans="1:8" ht="12.75" customHeight="1">
      <c r="C519" s="1788"/>
      <c r="D519" s="1786" t="s">
        <v>3238</v>
      </c>
      <c r="E519" s="4141" t="s">
        <v>3401</v>
      </c>
      <c r="F519" s="4141"/>
      <c r="G519" s="4141"/>
      <c r="H519" s="4141"/>
    </row>
    <row r="520" spans="1:8" ht="6" customHeight="1">
      <c r="D520" s="814"/>
      <c r="E520" s="1784"/>
      <c r="F520" s="1784"/>
      <c r="G520" s="1784"/>
      <c r="H520" s="1784"/>
    </row>
    <row r="521" spans="1:8">
      <c r="A521" s="785" t="s">
        <v>3234</v>
      </c>
      <c r="B521" s="812" t="str">
        <f>IF('Part VI-Revenues &amp; Expenses'!$L$56=0,"",'Part VI-Revenues &amp; Expenses'!$L$56)</f>
        <v/>
      </c>
      <c r="C521" s="785" t="s">
        <v>3235</v>
      </c>
      <c r="D521" s="813" t="s">
        <v>3402</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4075" t="s">
        <v>3239</v>
      </c>
      <c r="F524" s="4075"/>
      <c r="G524" s="4075"/>
      <c r="H524" s="4075"/>
    </row>
    <row r="525" spans="1:8" ht="12.75" customHeight="1">
      <c r="C525" s="1787" t="s">
        <v>4824</v>
      </c>
      <c r="E525" s="4075" t="s">
        <v>3400</v>
      </c>
      <c r="F525" s="4075"/>
      <c r="G525" s="4075"/>
      <c r="H525" s="4075"/>
    </row>
    <row r="526" spans="1:8" ht="12.75" customHeight="1">
      <c r="C526" s="1788"/>
      <c r="D526" s="1785" t="s">
        <v>3238</v>
      </c>
      <c r="E526" s="4142" t="s">
        <v>3401</v>
      </c>
      <c r="F526" s="4142"/>
      <c r="G526" s="4142"/>
      <c r="H526" s="4142"/>
    </row>
    <row r="527" spans="1:8" ht="3" customHeight="1">
      <c r="D527" s="814"/>
      <c r="E527" s="1784"/>
      <c r="F527" s="1784"/>
      <c r="G527" s="1784"/>
      <c r="H527" s="1784"/>
    </row>
    <row r="528" spans="1:8" ht="12.75" customHeight="1">
      <c r="C528" s="779" t="s">
        <v>3139</v>
      </c>
      <c r="D528" s="814" t="s">
        <v>1939</v>
      </c>
      <c r="E528" s="815"/>
      <c r="F528" s="811" t="s">
        <v>3140</v>
      </c>
      <c r="G528" s="811"/>
      <c r="H528" s="811"/>
    </row>
    <row r="529" spans="1:8" ht="12.75" customHeight="1">
      <c r="C529" s="816" t="s">
        <v>1326</v>
      </c>
      <c r="D529" s="814" t="s">
        <v>1941</v>
      </c>
      <c r="E529" s="4075" t="s">
        <v>3239</v>
      </c>
      <c r="F529" s="4075"/>
      <c r="G529" s="4075"/>
      <c r="H529" s="4075"/>
    </row>
    <row r="530" spans="1:8" ht="12.75" customHeight="1">
      <c r="C530" s="1787" t="s">
        <v>4824</v>
      </c>
      <c r="E530" s="4075" t="s">
        <v>3400</v>
      </c>
      <c r="F530" s="4075"/>
      <c r="G530" s="4075"/>
      <c r="H530" s="4075"/>
    </row>
    <row r="531" spans="1:8" ht="12.75" customHeight="1">
      <c r="C531" s="1788"/>
      <c r="D531" s="1786" t="s">
        <v>3238</v>
      </c>
      <c r="E531" s="4141" t="s">
        <v>3401</v>
      </c>
      <c r="F531" s="4141"/>
      <c r="G531" s="4141"/>
      <c r="H531" s="4141"/>
    </row>
    <row r="532" spans="1:8" ht="3" customHeight="1">
      <c r="D532" s="814"/>
      <c r="E532" s="1784"/>
      <c r="F532" s="1784"/>
      <c r="G532" s="1784"/>
      <c r="H532" s="1784"/>
    </row>
    <row r="533" spans="1:8" ht="12.75" customHeight="1">
      <c r="C533" s="779" t="s">
        <v>3139</v>
      </c>
      <c r="D533" s="814" t="s">
        <v>1939</v>
      </c>
      <c r="E533" s="815"/>
      <c r="F533" s="811" t="s">
        <v>3140</v>
      </c>
      <c r="G533" s="811"/>
      <c r="H533" s="811"/>
    </row>
    <row r="534" spans="1:8" ht="12.75" customHeight="1">
      <c r="C534" s="816" t="s">
        <v>1326</v>
      </c>
      <c r="D534" s="814" t="s">
        <v>1941</v>
      </c>
      <c r="E534" s="4075" t="s">
        <v>3239</v>
      </c>
      <c r="F534" s="4075"/>
      <c r="G534" s="4075"/>
      <c r="H534" s="4075"/>
    </row>
    <row r="535" spans="1:8" ht="12.75" customHeight="1">
      <c r="C535" s="1787" t="s">
        <v>4824</v>
      </c>
      <c r="E535" s="4075" t="s">
        <v>3400</v>
      </c>
      <c r="F535" s="4075"/>
      <c r="G535" s="4075"/>
      <c r="H535" s="4075"/>
    </row>
    <row r="536" spans="1:8" ht="12.75" customHeight="1">
      <c r="C536" s="1788"/>
      <c r="D536" s="1786" t="s">
        <v>3238</v>
      </c>
      <c r="E536" s="4141" t="s">
        <v>3401</v>
      </c>
      <c r="F536" s="4141"/>
      <c r="G536" s="4141"/>
      <c r="H536" s="4141"/>
    </row>
    <row r="537" spans="1:8" ht="6" customHeight="1">
      <c r="D537" s="814"/>
      <c r="E537" s="1784"/>
      <c r="F537" s="1784"/>
      <c r="G537" s="1784"/>
      <c r="H537" s="1784"/>
    </row>
    <row r="538" spans="1:8">
      <c r="A538" s="785" t="s">
        <v>3234</v>
      </c>
      <c r="B538" s="812" t="str">
        <f>IF('Part VI-Revenues &amp; Expenses'!$M$56=0,"",'Part VI-Revenues &amp; Expenses'!$M$56)</f>
        <v/>
      </c>
      <c r="C538" s="785" t="s">
        <v>3236</v>
      </c>
      <c r="D538" s="813" t="s">
        <v>3403</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4075" t="s">
        <v>3239</v>
      </c>
      <c r="F541" s="4075"/>
      <c r="G541" s="4075"/>
      <c r="H541" s="4075"/>
    </row>
    <row r="542" spans="1:8" ht="12.75" customHeight="1">
      <c r="C542" s="1787" t="s">
        <v>4824</v>
      </c>
      <c r="E542" s="4075" t="s">
        <v>3400</v>
      </c>
      <c r="F542" s="4075"/>
      <c r="G542" s="4075"/>
      <c r="H542" s="4075"/>
    </row>
    <row r="543" spans="1:8" ht="12.75" customHeight="1">
      <c r="C543" s="1788"/>
      <c r="D543" s="1785" t="s">
        <v>3238</v>
      </c>
      <c r="E543" s="4142" t="s">
        <v>3401</v>
      </c>
      <c r="F543" s="4142"/>
      <c r="G543" s="4142"/>
      <c r="H543" s="4142"/>
    </row>
    <row r="544" spans="1:8" ht="3" customHeight="1">
      <c r="D544" s="814"/>
      <c r="E544" s="1784"/>
      <c r="F544" s="1784"/>
      <c r="G544" s="1784"/>
      <c r="H544" s="1784"/>
    </row>
    <row r="545" spans="1:8" ht="12.75" customHeight="1">
      <c r="C545" s="779" t="s">
        <v>3139</v>
      </c>
      <c r="D545" s="814" t="s">
        <v>1939</v>
      </c>
      <c r="E545" s="815"/>
      <c r="F545" s="811" t="s">
        <v>3140</v>
      </c>
      <c r="G545" s="811"/>
      <c r="H545" s="811"/>
    </row>
    <row r="546" spans="1:8" ht="12.75" customHeight="1">
      <c r="C546" s="816" t="s">
        <v>1326</v>
      </c>
      <c r="D546" s="814" t="s">
        <v>1941</v>
      </c>
      <c r="E546" s="4075" t="s">
        <v>3239</v>
      </c>
      <c r="F546" s="4075"/>
      <c r="G546" s="4075"/>
      <c r="H546" s="4075"/>
    </row>
    <row r="547" spans="1:8" ht="12.75" customHeight="1">
      <c r="C547" s="1787" t="s">
        <v>4824</v>
      </c>
      <c r="E547" s="4075" t="s">
        <v>3400</v>
      </c>
      <c r="F547" s="4075"/>
      <c r="G547" s="4075"/>
      <c r="H547" s="4075"/>
    </row>
    <row r="548" spans="1:8" ht="12.75" customHeight="1">
      <c r="C548" s="1788"/>
      <c r="D548" s="1786" t="s">
        <v>3238</v>
      </c>
      <c r="E548" s="4141" t="s">
        <v>3401</v>
      </c>
      <c r="F548" s="4141"/>
      <c r="G548" s="4141"/>
      <c r="H548" s="4141"/>
    </row>
    <row r="549" spans="1:8" ht="3" customHeight="1">
      <c r="D549" s="814"/>
      <c r="E549" s="1784"/>
      <c r="F549" s="1784"/>
      <c r="G549" s="1784"/>
      <c r="H549" s="1784"/>
    </row>
    <row r="550" spans="1:8" ht="12.75" customHeight="1">
      <c r="C550" s="779" t="s">
        <v>3139</v>
      </c>
      <c r="D550" s="814" t="s">
        <v>1939</v>
      </c>
      <c r="E550" s="815"/>
      <c r="F550" s="811" t="s">
        <v>3140</v>
      </c>
      <c r="G550" s="811"/>
      <c r="H550" s="811"/>
    </row>
    <row r="551" spans="1:8" ht="12.75" customHeight="1">
      <c r="C551" s="816" t="s">
        <v>1326</v>
      </c>
      <c r="D551" s="814" t="s">
        <v>1941</v>
      </c>
      <c r="E551" s="4075" t="s">
        <v>3239</v>
      </c>
      <c r="F551" s="4075"/>
      <c r="G551" s="4075"/>
      <c r="H551" s="4075"/>
    </row>
    <row r="552" spans="1:8" ht="12.75" customHeight="1">
      <c r="C552" s="1787" t="s">
        <v>4824</v>
      </c>
      <c r="E552" s="4075" t="s">
        <v>3400</v>
      </c>
      <c r="F552" s="4075"/>
      <c r="G552" s="4075"/>
      <c r="H552" s="4075"/>
    </row>
    <row r="553" spans="1:8" ht="12.75" customHeight="1">
      <c r="C553" s="1788"/>
      <c r="D553" s="1786" t="s">
        <v>3238</v>
      </c>
      <c r="E553" s="4141" t="s">
        <v>3401</v>
      </c>
      <c r="F553" s="4141"/>
      <c r="G553" s="4141"/>
      <c r="H553" s="4141"/>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3404</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4075" t="s">
        <v>3239</v>
      </c>
      <c r="F558" s="4075"/>
      <c r="G558" s="4075"/>
      <c r="H558" s="4075"/>
    </row>
    <row r="559" spans="1:8" ht="12.75" customHeight="1">
      <c r="C559" s="1787" t="s">
        <v>4824</v>
      </c>
      <c r="E559" s="4075" t="s">
        <v>3400</v>
      </c>
      <c r="F559" s="4075"/>
      <c r="G559" s="4075"/>
      <c r="H559" s="4075"/>
    </row>
    <row r="560" spans="1:8" ht="12.75" customHeight="1">
      <c r="C560" s="1788"/>
      <c r="D560" s="1785" t="s">
        <v>3238</v>
      </c>
      <c r="E560" s="4142" t="s">
        <v>3401</v>
      </c>
      <c r="F560" s="4142"/>
      <c r="G560" s="4142"/>
      <c r="H560" s="4142"/>
    </row>
    <row r="561" spans="1:11" ht="3" customHeight="1">
      <c r="D561" s="814"/>
      <c r="E561" s="1784"/>
      <c r="F561" s="1784"/>
      <c r="G561" s="1784"/>
      <c r="H561" s="1784"/>
    </row>
    <row r="562" spans="1:11" ht="12.75" customHeight="1">
      <c r="C562" s="779" t="s">
        <v>3139</v>
      </c>
      <c r="D562" s="814" t="s">
        <v>1939</v>
      </c>
      <c r="E562" s="815"/>
      <c r="F562" s="811" t="s">
        <v>3140</v>
      </c>
      <c r="G562" s="811"/>
      <c r="H562" s="811"/>
    </row>
    <row r="563" spans="1:11" ht="12.75" customHeight="1">
      <c r="C563" s="816" t="s">
        <v>1326</v>
      </c>
      <c r="D563" s="814" t="s">
        <v>1941</v>
      </c>
      <c r="E563" s="4075" t="s">
        <v>3239</v>
      </c>
      <c r="F563" s="4075"/>
      <c r="G563" s="4075"/>
      <c r="H563" s="4075"/>
    </row>
    <row r="564" spans="1:11" ht="12.75" customHeight="1">
      <c r="C564" s="1787" t="s">
        <v>4824</v>
      </c>
      <c r="E564" s="4075" t="s">
        <v>3400</v>
      </c>
      <c r="F564" s="4075"/>
      <c r="G564" s="4075"/>
      <c r="H564" s="4075"/>
    </row>
    <row r="565" spans="1:11" ht="12.75" customHeight="1">
      <c r="C565" s="1788"/>
      <c r="D565" s="1786" t="s">
        <v>3238</v>
      </c>
      <c r="E565" s="4141" t="s">
        <v>3401</v>
      </c>
      <c r="F565" s="4141"/>
      <c r="G565" s="4141"/>
      <c r="H565" s="4141"/>
    </row>
    <row r="566" spans="1:11" ht="3" customHeight="1">
      <c r="D566" s="814"/>
      <c r="E566" s="1784"/>
      <c r="F566" s="1784"/>
      <c r="G566" s="1784"/>
      <c r="H566" s="1784"/>
    </row>
    <row r="567" spans="1:11" ht="12.75" customHeight="1">
      <c r="C567" s="779" t="s">
        <v>3139</v>
      </c>
      <c r="D567" s="814" t="s">
        <v>1939</v>
      </c>
      <c r="E567" s="815"/>
      <c r="F567" s="811" t="s">
        <v>3140</v>
      </c>
      <c r="G567" s="811"/>
      <c r="H567" s="811"/>
    </row>
    <row r="568" spans="1:11" ht="12.75" customHeight="1">
      <c r="C568" s="816" t="s">
        <v>1326</v>
      </c>
      <c r="D568" s="814" t="s">
        <v>1941</v>
      </c>
      <c r="E568" s="4075" t="s">
        <v>3239</v>
      </c>
      <c r="F568" s="4075"/>
      <c r="G568" s="4075"/>
      <c r="H568" s="4075"/>
    </row>
    <row r="569" spans="1:11" ht="12.75" customHeight="1">
      <c r="C569" s="1787" t="s">
        <v>4824</v>
      </c>
      <c r="E569" s="4075" t="s">
        <v>3400</v>
      </c>
      <c r="F569" s="4075"/>
      <c r="G569" s="4075"/>
      <c r="H569" s="4075"/>
    </row>
    <row r="570" spans="1:11" ht="12.75" customHeight="1">
      <c r="C570" s="1788"/>
      <c r="D570" s="1786" t="s">
        <v>3238</v>
      </c>
      <c r="E570" s="4141" t="s">
        <v>3401</v>
      </c>
      <c r="F570" s="4141"/>
      <c r="G570" s="4141"/>
      <c r="H570" s="4141"/>
    </row>
    <row r="571" spans="1:11" ht="6" customHeight="1">
      <c r="D571" s="814"/>
      <c r="E571" s="1784"/>
      <c r="F571" s="1784"/>
      <c r="G571" s="1784"/>
      <c r="H571" s="1784"/>
    </row>
    <row r="572" spans="1:11">
      <c r="A572" s="785" t="s">
        <v>3234</v>
      </c>
      <c r="B572" s="812" t="str">
        <f>IF('Part VI-Revenues &amp; Expenses'!$O$56=0,"",'Part VI-Revenues &amp; Expenses'!$O$56)</f>
        <v/>
      </c>
      <c r="C572" s="785" t="s">
        <v>4822</v>
      </c>
      <c r="D572" s="813" t="s">
        <v>4823</v>
      </c>
    </row>
    <row r="573" spans="1:11" ht="1.95" customHeight="1"/>
    <row r="574" spans="1:11" ht="12.75" customHeight="1">
      <c r="C574" s="779" t="s">
        <v>3139</v>
      </c>
      <c r="D574" s="814" t="s">
        <v>1939</v>
      </c>
      <c r="E574" s="815"/>
      <c r="F574" s="4075" t="s">
        <v>3140</v>
      </c>
      <c r="G574" s="4075"/>
      <c r="H574" s="4075"/>
      <c r="K574" s="730" t="s">
        <v>238</v>
      </c>
    </row>
    <row r="575" spans="1:11" ht="12.75" customHeight="1">
      <c r="C575" s="816" t="s">
        <v>1326</v>
      </c>
      <c r="D575" s="814" t="s">
        <v>1941</v>
      </c>
      <c r="E575" s="4075" t="s">
        <v>3240</v>
      </c>
      <c r="F575" s="4075"/>
      <c r="G575" s="4075"/>
      <c r="H575" s="4075"/>
    </row>
    <row r="576" spans="1:11" ht="12.75" customHeight="1">
      <c r="E576" s="4075" t="s">
        <v>3400</v>
      </c>
      <c r="F576" s="4075"/>
      <c r="G576" s="4075"/>
      <c r="H576" s="4075"/>
    </row>
    <row r="577" spans="4:8" ht="12.75" customHeight="1">
      <c r="D577" s="817" t="s">
        <v>3238</v>
      </c>
      <c r="E577" s="4075" t="s">
        <v>3401</v>
      </c>
      <c r="F577" s="4075"/>
      <c r="G577" s="4075"/>
      <c r="H577" s="4075"/>
    </row>
    <row r="578" spans="4:8" ht="9" customHeight="1"/>
    <row r="579" spans="4:8" ht="7.5" customHeight="1">
      <c r="E579" s="4075"/>
      <c r="F579" s="4075"/>
      <c r="G579" s="4075"/>
      <c r="H579" s="407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The Pointe at St. Martin</v>
      </c>
    </row>
    <row r="2" spans="1:14">
      <c r="A2" s="667" t="s">
        <v>3134</v>
      </c>
      <c r="H2" s="730" t="str">
        <f>'Sensitivity Analysis'!E8</f>
        <v>2020-091</v>
      </c>
    </row>
    <row r="3" spans="1:14" ht="3" customHeight="1"/>
    <row r="4" spans="1:14" ht="69.599999999999994" customHeight="1">
      <c r="A4" s="4144" t="s">
        <v>3232</v>
      </c>
      <c r="B4" s="4144"/>
      <c r="C4" s="4144"/>
      <c r="D4" s="4144"/>
      <c r="E4" s="4144"/>
      <c r="F4" s="4144"/>
      <c r="G4" s="4144"/>
      <c r="H4" s="4144"/>
      <c r="I4" s="4144"/>
      <c r="J4" s="4144"/>
      <c r="K4" s="4144"/>
      <c r="L4" s="4178">
        <f>SUM('Part VII-Pro Forma'!B14:B16)/12</f>
        <v>28662.8976</v>
      </c>
      <c r="M4" s="4178"/>
      <c r="N4" s="2037" t="s">
        <v>4106</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4144" t="s">
        <v>3136</v>
      </c>
      <c r="D7" s="4144"/>
      <c r="E7" s="4144"/>
      <c r="F7" s="4144"/>
      <c r="G7" s="4144"/>
      <c r="H7" s="4144"/>
      <c r="I7" s="4144"/>
      <c r="J7" s="4144"/>
      <c r="K7" s="4144"/>
      <c r="L7" s="4144"/>
      <c r="M7" s="4144"/>
    </row>
    <row r="8" spans="1:14" ht="3" customHeight="1"/>
    <row r="9" spans="1:14">
      <c r="A9" s="730" t="s">
        <v>3137</v>
      </c>
    </row>
    <row r="10" spans="1:14" ht="1.5" customHeight="1"/>
    <row r="11" spans="1:14" ht="26.25" customHeight="1">
      <c r="A11" s="811" t="s">
        <v>1936</v>
      </c>
      <c r="B11" s="4144" t="s">
        <v>3229</v>
      </c>
      <c r="C11" s="4144"/>
      <c r="D11" s="4144"/>
      <c r="E11" s="4144"/>
      <c r="F11" s="4144"/>
      <c r="G11" s="4144"/>
      <c r="H11" s="4144"/>
      <c r="I11" s="4144"/>
      <c r="J11" s="4144"/>
      <c r="K11" s="4144"/>
      <c r="L11" s="4145">
        <f>'Part III-Sources of Funds'!I49+'Part III-Sources of Funds'!I50</f>
        <v>11374075</v>
      </c>
      <c r="M11" s="4145"/>
    </row>
    <row r="12" spans="1:14" ht="1.5" customHeight="1">
      <c r="G12" s="779"/>
      <c r="H12" s="779"/>
    </row>
    <row r="13" spans="1:14" ht="25.95" customHeight="1">
      <c r="A13" s="811" t="s">
        <v>1938</v>
      </c>
      <c r="B13" s="4144" t="s">
        <v>3230</v>
      </c>
      <c r="C13" s="4144"/>
      <c r="D13" s="4144"/>
      <c r="E13" s="4144"/>
      <c r="F13" s="4144"/>
      <c r="G13" s="4144"/>
      <c r="H13" s="4144"/>
      <c r="I13" s="4144"/>
      <c r="J13" s="4144"/>
      <c r="K13" s="4144"/>
      <c r="L13" s="4146" t="s">
        <v>3063</v>
      </c>
      <c r="M13" s="4146"/>
    </row>
    <row r="14" spans="1:14">
      <c r="A14" s="811"/>
      <c r="B14" s="4064"/>
      <c r="C14" s="4064"/>
      <c r="D14" s="4064"/>
      <c r="E14" s="4064"/>
      <c r="F14" s="4064"/>
      <c r="G14" s="4064"/>
      <c r="H14" s="4064"/>
    </row>
    <row r="15" spans="1:14" ht="3" customHeight="1"/>
    <row r="16" spans="1:14">
      <c r="A16" s="811" t="s">
        <v>731</v>
      </c>
      <c r="B16" s="730" t="s">
        <v>3233</v>
      </c>
      <c r="F16" s="803"/>
      <c r="L16" s="4061" t="s">
        <v>2889</v>
      </c>
      <c r="M16" s="4061"/>
    </row>
    <row r="17" spans="1:19" ht="1.5" customHeight="1">
      <c r="L17" s="785"/>
    </row>
    <row r="18" spans="1:19" ht="12" customHeight="1">
      <c r="A18" s="811" t="s">
        <v>2065</v>
      </c>
      <c r="B18" s="779" t="s">
        <v>3231</v>
      </c>
      <c r="C18" s="811"/>
      <c r="D18" s="811"/>
      <c r="E18" s="811"/>
      <c r="L18" s="4064" t="s">
        <v>2728</v>
      </c>
      <c r="M18" s="4064"/>
    </row>
    <row r="19" spans="1:19" ht="12" hidden="1" customHeight="1">
      <c r="B19" s="4064"/>
      <c r="C19" s="4064"/>
      <c r="D19" s="4064"/>
      <c r="E19" s="4064"/>
      <c r="F19" s="4064"/>
      <c r="G19" s="4064"/>
      <c r="H19" s="4064"/>
    </row>
    <row r="20" spans="1:19" ht="13.5" customHeight="1"/>
    <row r="21" spans="1:19" ht="12" customHeight="1">
      <c r="A21" s="667" t="s">
        <v>3138</v>
      </c>
    </row>
    <row r="22" spans="1:19" ht="3" customHeight="1"/>
    <row r="23" spans="1:19" ht="42.6" customHeight="1" thickBot="1">
      <c r="A23" s="4147" t="s">
        <v>4821</v>
      </c>
      <c r="B23" s="4147"/>
      <c r="C23" s="4147"/>
      <c r="D23" s="4147"/>
      <c r="E23" s="4147"/>
      <c r="F23" s="4147"/>
      <c r="G23" s="4147"/>
      <c r="H23" s="4147"/>
      <c r="I23" s="4147"/>
      <c r="J23" s="4147"/>
      <c r="K23" s="4147"/>
      <c r="L23" s="4147"/>
      <c r="M23" s="4147"/>
    </row>
    <row r="24" spans="1:19" ht="18" customHeight="1" thickBot="1">
      <c r="A24" s="2036"/>
      <c r="B24" s="4177" t="s">
        <v>6841</v>
      </c>
      <c r="F24" s="4168" t="s">
        <v>6843</v>
      </c>
      <c r="G24" s="4169"/>
      <c r="H24" s="4169"/>
      <c r="I24" s="4169"/>
      <c r="J24" s="4169"/>
      <c r="K24" s="4169"/>
      <c r="L24" s="4169"/>
      <c r="M24" s="4170"/>
      <c r="S24" s="730"/>
    </row>
    <row r="25" spans="1:19" ht="15" customHeight="1">
      <c r="A25" s="2036"/>
      <c r="B25" s="4177"/>
      <c r="D25" s="4177" t="s">
        <v>6839</v>
      </c>
      <c r="E25" s="4177" t="s">
        <v>6842</v>
      </c>
      <c r="F25" s="4153" t="s">
        <v>6846</v>
      </c>
      <c r="G25" s="4154"/>
      <c r="H25" s="4159" t="s">
        <v>1326</v>
      </c>
      <c r="I25" s="4171" t="s">
        <v>6840</v>
      </c>
      <c r="J25" s="4172"/>
      <c r="K25" s="4172"/>
      <c r="L25" s="4172"/>
      <c r="M25" s="4173"/>
      <c r="S25" s="730"/>
    </row>
    <row r="26" spans="1:19" ht="15" customHeight="1">
      <c r="A26" s="4148" t="s">
        <v>1018</v>
      </c>
      <c r="B26" s="4177"/>
      <c r="C26" s="807"/>
      <c r="D26" s="4177"/>
      <c r="E26" s="4177"/>
      <c r="F26" s="4155"/>
      <c r="G26" s="4156"/>
      <c r="H26" s="4160"/>
      <c r="I26" s="4162" t="s">
        <v>6844</v>
      </c>
      <c r="J26" s="4163"/>
      <c r="K26" s="4174" t="s">
        <v>1326</v>
      </c>
      <c r="L26" s="4163" t="s">
        <v>6845</v>
      </c>
      <c r="M26" s="4166"/>
      <c r="S26" s="730"/>
    </row>
    <row r="27" spans="1:19" ht="15" customHeight="1">
      <c r="A27" s="4148"/>
      <c r="B27" s="4177"/>
      <c r="C27" s="4148" t="s">
        <v>6838</v>
      </c>
      <c r="D27" s="4177"/>
      <c r="E27" s="4177"/>
      <c r="F27" s="4155"/>
      <c r="G27" s="4156"/>
      <c r="H27" s="4160"/>
      <c r="I27" s="4162"/>
      <c r="J27" s="4163"/>
      <c r="K27" s="4175"/>
      <c r="L27" s="4163"/>
      <c r="M27" s="4166"/>
      <c r="S27" s="730"/>
    </row>
    <row r="28" spans="1:19" ht="15" customHeight="1" thickBot="1">
      <c r="A28" s="4148"/>
      <c r="B28" s="4148"/>
      <c r="C28" s="4148"/>
      <c r="D28" s="4148"/>
      <c r="E28" s="4148"/>
      <c r="F28" s="4157"/>
      <c r="G28" s="4158"/>
      <c r="H28" s="4161"/>
      <c r="I28" s="4164"/>
      <c r="J28" s="4165"/>
      <c r="K28" s="4176"/>
      <c r="L28" s="4165"/>
      <c r="M28" s="4167"/>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49"/>
      <c r="G30" s="4150"/>
      <c r="H30" s="538"/>
      <c r="I30" s="737"/>
      <c r="J30" s="538"/>
      <c r="K30" s="538"/>
      <c r="L30" s="538"/>
      <c r="M30" s="538"/>
      <c r="S30" s="730"/>
    </row>
    <row r="31" spans="1:19" ht="13.2" customHeight="1">
      <c r="A31" s="2039"/>
      <c r="B31" s="538"/>
      <c r="C31" s="538" t="s">
        <v>551</v>
      </c>
      <c r="D31" s="2032"/>
      <c r="E31" s="2033"/>
      <c r="F31" s="4151"/>
      <c r="G31" s="4151"/>
      <c r="H31" s="4151"/>
      <c r="I31" s="4151"/>
      <c r="J31" s="4151"/>
      <c r="K31" s="4151"/>
      <c r="L31" s="4151"/>
      <c r="M31" s="4152"/>
      <c r="S31" s="730"/>
    </row>
    <row r="32" spans="1:19" ht="13.2" customHeight="1">
      <c r="A32" s="2039"/>
      <c r="B32" s="538"/>
      <c r="C32" s="538" t="s">
        <v>551</v>
      </c>
      <c r="D32" s="2032"/>
      <c r="E32" s="2033"/>
      <c r="F32" s="4151"/>
      <c r="G32" s="4151"/>
      <c r="H32" s="4151"/>
      <c r="I32" s="4151"/>
      <c r="J32" s="4151"/>
      <c r="K32" s="4151"/>
      <c r="L32" s="4151"/>
      <c r="M32" s="4152"/>
      <c r="S32" s="730"/>
    </row>
    <row r="33" spans="1:19" ht="13.2" customHeight="1">
      <c r="A33" s="2039"/>
      <c r="B33" s="538"/>
      <c r="C33" s="538" t="s">
        <v>551</v>
      </c>
      <c r="D33" s="2032"/>
      <c r="E33" s="2033"/>
      <c r="F33" s="4151"/>
      <c r="G33" s="4151"/>
      <c r="H33" s="4151"/>
      <c r="I33" s="4151"/>
      <c r="J33" s="4151"/>
      <c r="K33" s="4151"/>
      <c r="L33" s="4151"/>
      <c r="M33" s="4152"/>
      <c r="S33" s="730"/>
    </row>
    <row r="34" spans="1:19" ht="13.2" customHeight="1">
      <c r="A34" s="2035">
        <f>A30</f>
        <v>20</v>
      </c>
      <c r="B34" s="812" t="str">
        <f>IF('Part VI-Revenues &amp; Expenses'!$L$62=0,"",'Part VI-Revenues &amp; Expenses'!$L$62)</f>
        <v/>
      </c>
      <c r="C34" s="2031">
        <v>1</v>
      </c>
      <c r="D34" s="538"/>
      <c r="E34" s="538"/>
      <c r="F34" s="4149"/>
      <c r="G34" s="4150"/>
      <c r="H34" s="2031"/>
      <c r="I34" s="2031"/>
      <c r="J34" s="2031"/>
      <c r="K34" s="2031"/>
      <c r="L34" s="2031"/>
      <c r="M34" s="2031"/>
      <c r="S34" s="730"/>
    </row>
    <row r="35" spans="1:19" ht="13.2" customHeight="1">
      <c r="A35" s="2035"/>
      <c r="B35" s="538"/>
      <c r="C35" s="2034">
        <v>1</v>
      </c>
      <c r="D35" s="2032"/>
      <c r="E35" s="2033"/>
      <c r="F35" s="4151"/>
      <c r="G35" s="4151"/>
      <c r="H35" s="4151"/>
      <c r="I35" s="4151"/>
      <c r="J35" s="4151"/>
      <c r="K35" s="4151"/>
      <c r="L35" s="4151"/>
      <c r="M35" s="4152"/>
      <c r="S35" s="730"/>
    </row>
    <row r="36" spans="1:19" ht="13.2" customHeight="1">
      <c r="A36" s="2035"/>
      <c r="B36" s="538"/>
      <c r="C36" s="2034">
        <v>1</v>
      </c>
      <c r="D36" s="2032"/>
      <c r="E36" s="2033"/>
      <c r="F36" s="4151"/>
      <c r="G36" s="4151"/>
      <c r="H36" s="4151"/>
      <c r="I36" s="4151"/>
      <c r="J36" s="4151"/>
      <c r="K36" s="4151"/>
      <c r="L36" s="4151"/>
      <c r="M36" s="4152"/>
      <c r="S36" s="730"/>
    </row>
    <row r="37" spans="1:19" ht="13.2" customHeight="1">
      <c r="A37" s="2035"/>
      <c r="B37" s="538"/>
      <c r="C37" s="2034">
        <v>1</v>
      </c>
      <c r="D37" s="2032"/>
      <c r="E37" s="2033"/>
      <c r="F37" s="4151"/>
      <c r="G37" s="4151"/>
      <c r="H37" s="4151"/>
      <c r="I37" s="4151"/>
      <c r="J37" s="4151"/>
      <c r="K37" s="4151"/>
      <c r="L37" s="4151"/>
      <c r="M37" s="4152"/>
      <c r="S37" s="730"/>
    </row>
    <row r="38" spans="1:19" ht="13.2" customHeight="1">
      <c r="A38" s="2035">
        <f>A30</f>
        <v>20</v>
      </c>
      <c r="B38" s="812" t="str">
        <f>IF('Part VI-Revenues &amp; Expenses'!$M$62=0,"",'Part VI-Revenues &amp; Expenses'!$M$62)</f>
        <v/>
      </c>
      <c r="C38" s="2031">
        <v>2</v>
      </c>
      <c r="D38" s="538"/>
      <c r="E38" s="538"/>
      <c r="F38" s="4149"/>
      <c r="G38" s="4150"/>
      <c r="H38" s="2031"/>
      <c r="I38" s="2031"/>
      <c r="J38" s="2031"/>
      <c r="K38" s="2031"/>
      <c r="L38" s="2031"/>
      <c r="M38" s="2031"/>
      <c r="S38" s="730"/>
    </row>
    <row r="39" spans="1:19" ht="13.2" customHeight="1">
      <c r="A39" s="2035"/>
      <c r="B39" s="538"/>
      <c r="C39" s="2034">
        <v>2</v>
      </c>
      <c r="D39" s="2032"/>
      <c r="E39" s="2033"/>
      <c r="F39" s="4151"/>
      <c r="G39" s="4151"/>
      <c r="H39" s="4151"/>
      <c r="I39" s="4151"/>
      <c r="J39" s="4151"/>
      <c r="K39" s="4151"/>
      <c r="L39" s="4151"/>
      <c r="M39" s="4152"/>
      <c r="S39" s="730"/>
    </row>
    <row r="40" spans="1:19" ht="13.2" customHeight="1">
      <c r="A40" s="2035"/>
      <c r="B40" s="538"/>
      <c r="C40" s="2034">
        <v>2</v>
      </c>
      <c r="D40" s="2032"/>
      <c r="E40" s="2033"/>
      <c r="F40" s="4151"/>
      <c r="G40" s="4151"/>
      <c r="H40" s="4151"/>
      <c r="I40" s="4151"/>
      <c r="J40" s="4151"/>
      <c r="K40" s="4151"/>
      <c r="L40" s="4151"/>
      <c r="M40" s="4152"/>
      <c r="S40" s="730"/>
    </row>
    <row r="41" spans="1:19" ht="13.2" customHeight="1">
      <c r="A41" s="2035"/>
      <c r="B41" s="538"/>
      <c r="C41" s="2034">
        <v>2</v>
      </c>
      <c r="D41" s="2032"/>
      <c r="E41" s="2033"/>
      <c r="F41" s="4151"/>
      <c r="G41" s="4151"/>
      <c r="H41" s="4151"/>
      <c r="I41" s="4151"/>
      <c r="J41" s="4151"/>
      <c r="K41" s="4151"/>
      <c r="L41" s="4151"/>
      <c r="M41" s="4152"/>
      <c r="S41" s="730"/>
    </row>
    <row r="42" spans="1:19" ht="13.2" customHeight="1">
      <c r="A42" s="2035"/>
      <c r="B42" s="538"/>
      <c r="C42" s="2034">
        <v>2</v>
      </c>
      <c r="D42" s="2032"/>
      <c r="E42" s="2033"/>
      <c r="F42" s="4151"/>
      <c r="G42" s="4151"/>
      <c r="H42" s="4151"/>
      <c r="I42" s="4151"/>
      <c r="J42" s="4151"/>
      <c r="K42" s="4151"/>
      <c r="L42" s="4151"/>
      <c r="M42" s="4152"/>
      <c r="S42" s="730"/>
    </row>
    <row r="43" spans="1:19" ht="13.2" customHeight="1">
      <c r="A43" s="2035">
        <f>A30</f>
        <v>20</v>
      </c>
      <c r="B43" s="812" t="str">
        <f>IF('Part VI-Revenues &amp; Expenses'!$N$62=0,"",'Part VI-Revenues &amp; Expenses'!$N$62)</f>
        <v/>
      </c>
      <c r="C43" s="2031">
        <v>3</v>
      </c>
      <c r="D43" s="538"/>
      <c r="E43" s="538"/>
      <c r="F43" s="4149"/>
      <c r="G43" s="4150"/>
      <c r="H43" s="2031"/>
      <c r="I43" s="2031"/>
      <c r="J43" s="2031"/>
      <c r="K43" s="2031"/>
      <c r="L43" s="2031"/>
      <c r="M43" s="2031"/>
      <c r="S43" s="730"/>
    </row>
    <row r="44" spans="1:19" ht="13.2" customHeight="1">
      <c r="A44" s="2035"/>
      <c r="B44" s="538"/>
      <c r="C44" s="2034">
        <v>3</v>
      </c>
      <c r="D44" s="2032"/>
      <c r="E44" s="2033"/>
      <c r="F44" s="4151"/>
      <c r="G44" s="4151"/>
      <c r="H44" s="4151"/>
      <c r="I44" s="4151"/>
      <c r="J44" s="4151"/>
      <c r="K44" s="4151"/>
      <c r="L44" s="4151"/>
      <c r="M44" s="4152"/>
      <c r="S44" s="730"/>
    </row>
    <row r="45" spans="1:19" ht="13.2" customHeight="1">
      <c r="A45" s="2035"/>
      <c r="B45" s="538"/>
      <c r="C45" s="2034">
        <v>3</v>
      </c>
      <c r="D45" s="2032"/>
      <c r="E45" s="2033"/>
      <c r="F45" s="4151"/>
      <c r="G45" s="4151"/>
      <c r="H45" s="4151"/>
      <c r="I45" s="4151"/>
      <c r="J45" s="4151"/>
      <c r="K45" s="4151"/>
      <c r="L45" s="4151"/>
      <c r="M45" s="4152"/>
      <c r="S45" s="730"/>
    </row>
    <row r="46" spans="1:19" ht="13.2" customHeight="1">
      <c r="A46" s="2035"/>
      <c r="B46" s="538"/>
      <c r="C46" s="2034">
        <v>3</v>
      </c>
      <c r="D46" s="2032"/>
      <c r="E46" s="2033"/>
      <c r="F46" s="4151"/>
      <c r="G46" s="4151"/>
      <c r="H46" s="4151"/>
      <c r="I46" s="4151"/>
      <c r="J46" s="4151"/>
      <c r="K46" s="4151"/>
      <c r="L46" s="4151"/>
      <c r="M46" s="4152"/>
      <c r="S46" s="730"/>
    </row>
    <row r="47" spans="1:19" ht="13.2" customHeight="1">
      <c r="A47" s="2035"/>
      <c r="B47" s="538"/>
      <c r="C47" s="2034">
        <v>3</v>
      </c>
      <c r="D47" s="2032"/>
      <c r="E47" s="2033"/>
      <c r="F47" s="4151"/>
      <c r="G47" s="4151"/>
      <c r="H47" s="4151"/>
      <c r="I47" s="4151"/>
      <c r="J47" s="4151"/>
      <c r="K47" s="4151"/>
      <c r="L47" s="4151"/>
      <c r="M47" s="4152"/>
      <c r="S47" s="730"/>
    </row>
    <row r="48" spans="1:19" ht="13.2" customHeight="1">
      <c r="A48" s="2035">
        <f>A30</f>
        <v>20</v>
      </c>
      <c r="B48" s="812" t="str">
        <f>IF('Part VI-Revenues &amp; Expenses'!$O$62=0,"",'Part VI-Revenues &amp; Expenses'!$O$62)</f>
        <v/>
      </c>
      <c r="C48" s="2031">
        <v>4</v>
      </c>
      <c r="D48" s="538"/>
      <c r="E48" s="538"/>
      <c r="F48" s="4149"/>
      <c r="G48" s="4150"/>
      <c r="H48" s="2031"/>
      <c r="I48" s="2031"/>
      <c r="J48" s="2031"/>
      <c r="K48" s="2031"/>
      <c r="L48" s="2031"/>
      <c r="M48" s="2031"/>
      <c r="S48" s="730"/>
    </row>
    <row r="49" spans="1:19" ht="13.2" customHeight="1">
      <c r="A49" s="2039"/>
      <c r="B49" s="538"/>
      <c r="C49" s="2034">
        <v>4</v>
      </c>
      <c r="D49" s="2032"/>
      <c r="E49" s="2033"/>
      <c r="F49" s="4151"/>
      <c r="G49" s="4151"/>
      <c r="H49" s="4151"/>
      <c r="I49" s="4151"/>
      <c r="J49" s="4151"/>
      <c r="K49" s="4151"/>
      <c r="L49" s="4151"/>
      <c r="M49" s="4152"/>
      <c r="S49" s="730"/>
    </row>
    <row r="50" spans="1:19" ht="13.2" customHeight="1">
      <c r="A50" s="2036"/>
      <c r="C50" s="2034">
        <v>4</v>
      </c>
      <c r="D50" s="2032"/>
      <c r="E50" s="2033"/>
      <c r="F50" s="4151"/>
      <c r="G50" s="4151"/>
      <c r="H50" s="4151"/>
      <c r="I50" s="4151"/>
      <c r="J50" s="4151"/>
      <c r="K50" s="4151"/>
      <c r="L50" s="4151"/>
      <c r="M50" s="4152"/>
      <c r="S50" s="730"/>
    </row>
    <row r="51" spans="1:19" ht="13.2" customHeight="1">
      <c r="A51" s="2036"/>
      <c r="C51" s="2034">
        <v>4</v>
      </c>
      <c r="D51" s="2032"/>
      <c r="E51" s="2033"/>
      <c r="F51" s="4151"/>
      <c r="G51" s="4151"/>
      <c r="H51" s="4151"/>
      <c r="I51" s="4151"/>
      <c r="J51" s="4151"/>
      <c r="K51" s="4151"/>
      <c r="L51" s="4151"/>
      <c r="M51" s="4152"/>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49"/>
      <c r="G54" s="4150"/>
      <c r="H54" s="538"/>
      <c r="I54" s="737"/>
      <c r="J54" s="538"/>
      <c r="K54" s="538"/>
      <c r="L54" s="538"/>
      <c r="M54" s="538"/>
      <c r="S54" s="730"/>
    </row>
    <row r="55" spans="1:19" ht="13.2" customHeight="1">
      <c r="A55" s="2039"/>
      <c r="B55" s="538"/>
      <c r="C55" s="538" t="s">
        <v>551</v>
      </c>
      <c r="D55" s="2032"/>
      <c r="E55" s="2033"/>
      <c r="F55" s="4151"/>
      <c r="G55" s="4151"/>
      <c r="H55" s="4151"/>
      <c r="I55" s="4151"/>
      <c r="J55" s="4151"/>
      <c r="K55" s="4151"/>
      <c r="L55" s="4151"/>
      <c r="M55" s="4152"/>
      <c r="S55" s="730"/>
    </row>
    <row r="56" spans="1:19" ht="13.2" customHeight="1">
      <c r="A56" s="2039"/>
      <c r="B56" s="538"/>
      <c r="C56" s="538" t="s">
        <v>551</v>
      </c>
      <c r="D56" s="2032"/>
      <c r="E56" s="2033"/>
      <c r="F56" s="4151"/>
      <c r="G56" s="4151"/>
      <c r="H56" s="4151"/>
      <c r="I56" s="4151"/>
      <c r="J56" s="4151"/>
      <c r="K56" s="4151"/>
      <c r="L56" s="4151"/>
      <c r="M56" s="4152"/>
      <c r="S56" s="730"/>
    </row>
    <row r="57" spans="1:19" ht="13.2" customHeight="1">
      <c r="A57" s="2039"/>
      <c r="B57" s="538"/>
      <c r="C57" s="538" t="s">
        <v>551</v>
      </c>
      <c r="D57" s="2032"/>
      <c r="E57" s="2033"/>
      <c r="F57" s="4151"/>
      <c r="G57" s="4151"/>
      <c r="H57" s="4151"/>
      <c r="I57" s="4151"/>
      <c r="J57" s="4151"/>
      <c r="K57" s="4151"/>
      <c r="L57" s="4151"/>
      <c r="M57" s="4152"/>
      <c r="S57" s="730"/>
    </row>
    <row r="58" spans="1:19" ht="13.2" customHeight="1">
      <c r="A58" s="2035">
        <f>A54</f>
        <v>30</v>
      </c>
      <c r="B58" s="812" t="str">
        <f>IF('Part VI-Revenues &amp; Expenses'!$L$61=0,"",'Part VI-Revenues &amp; Expenses'!$L$61)</f>
        <v/>
      </c>
      <c r="C58" s="2031">
        <v>1</v>
      </c>
      <c r="D58" s="538"/>
      <c r="E58" s="538"/>
      <c r="F58" s="4149"/>
      <c r="G58" s="4150"/>
      <c r="H58" s="2031"/>
      <c r="I58" s="2031"/>
      <c r="J58" s="2031"/>
      <c r="K58" s="2031"/>
      <c r="L58" s="2031"/>
      <c r="M58" s="2031"/>
      <c r="S58" s="730"/>
    </row>
    <row r="59" spans="1:19" ht="13.2" customHeight="1">
      <c r="A59" s="2035"/>
      <c r="B59" s="538"/>
      <c r="C59" s="2034">
        <v>1</v>
      </c>
      <c r="D59" s="2032"/>
      <c r="E59" s="2033"/>
      <c r="F59" s="4151"/>
      <c r="G59" s="4151"/>
      <c r="H59" s="4151"/>
      <c r="I59" s="4151"/>
      <c r="J59" s="4151"/>
      <c r="K59" s="4151"/>
      <c r="L59" s="4151"/>
      <c r="M59" s="4152"/>
      <c r="S59" s="730"/>
    </row>
    <row r="60" spans="1:19" ht="13.2" customHeight="1">
      <c r="A60" s="2035"/>
      <c r="B60" s="538"/>
      <c r="C60" s="2034">
        <v>1</v>
      </c>
      <c r="D60" s="2032"/>
      <c r="E60" s="2033"/>
      <c r="F60" s="4151"/>
      <c r="G60" s="4151"/>
      <c r="H60" s="4151"/>
      <c r="I60" s="4151"/>
      <c r="J60" s="4151"/>
      <c r="K60" s="4151"/>
      <c r="L60" s="4151"/>
      <c r="M60" s="4152"/>
      <c r="S60" s="730"/>
    </row>
    <row r="61" spans="1:19" ht="13.2" customHeight="1">
      <c r="A61" s="2035"/>
      <c r="B61" s="538"/>
      <c r="C61" s="2034">
        <v>1</v>
      </c>
      <c r="D61" s="2032"/>
      <c r="E61" s="2033"/>
      <c r="F61" s="4151"/>
      <c r="G61" s="4151"/>
      <c r="H61" s="4151"/>
      <c r="I61" s="4151"/>
      <c r="J61" s="4151"/>
      <c r="K61" s="4151"/>
      <c r="L61" s="4151"/>
      <c r="M61" s="4152"/>
      <c r="S61" s="730"/>
    </row>
    <row r="62" spans="1:19" ht="13.2" customHeight="1">
      <c r="A62" s="2035">
        <f>A54</f>
        <v>30</v>
      </c>
      <c r="B62" s="812" t="str">
        <f>IF('Part VI-Revenues &amp; Expenses'!$M$61=0,"",'Part VI-Revenues &amp; Expenses'!$M$61)</f>
        <v/>
      </c>
      <c r="C62" s="2031">
        <v>2</v>
      </c>
      <c r="D62" s="538"/>
      <c r="E62" s="538"/>
      <c r="F62" s="4149"/>
      <c r="G62" s="4150"/>
      <c r="H62" s="2031"/>
      <c r="I62" s="2031"/>
      <c r="J62" s="2031"/>
      <c r="K62" s="2031"/>
      <c r="L62" s="2031"/>
      <c r="M62" s="2031"/>
      <c r="S62" s="730"/>
    </row>
    <row r="63" spans="1:19" ht="13.2" customHeight="1">
      <c r="A63" s="2035"/>
      <c r="B63" s="538"/>
      <c r="C63" s="2034">
        <v>2</v>
      </c>
      <c r="D63" s="2032"/>
      <c r="E63" s="2033"/>
      <c r="F63" s="4151"/>
      <c r="G63" s="4151"/>
      <c r="H63" s="4151"/>
      <c r="I63" s="4151"/>
      <c r="J63" s="4151"/>
      <c r="K63" s="4151"/>
      <c r="L63" s="4151"/>
      <c r="M63" s="4152"/>
      <c r="S63" s="730"/>
    </row>
    <row r="64" spans="1:19" ht="13.2" customHeight="1">
      <c r="A64" s="2035"/>
      <c r="B64" s="538"/>
      <c r="C64" s="2034">
        <v>2</v>
      </c>
      <c r="D64" s="2032"/>
      <c r="E64" s="2033"/>
      <c r="F64" s="4151"/>
      <c r="G64" s="4151"/>
      <c r="H64" s="4151"/>
      <c r="I64" s="4151"/>
      <c r="J64" s="4151"/>
      <c r="K64" s="4151"/>
      <c r="L64" s="4151"/>
      <c r="M64" s="4152"/>
      <c r="S64" s="730"/>
    </row>
    <row r="65" spans="1:19" ht="13.2" customHeight="1">
      <c r="A65" s="2035"/>
      <c r="B65" s="538"/>
      <c r="C65" s="2034">
        <v>2</v>
      </c>
      <c r="D65" s="2032"/>
      <c r="E65" s="2033"/>
      <c r="F65" s="4151"/>
      <c r="G65" s="4151"/>
      <c r="H65" s="4151"/>
      <c r="I65" s="4151"/>
      <c r="J65" s="4151"/>
      <c r="K65" s="4151"/>
      <c r="L65" s="4151"/>
      <c r="M65" s="4152"/>
      <c r="S65" s="730"/>
    </row>
    <row r="66" spans="1:19" ht="13.2" customHeight="1">
      <c r="A66" s="2035"/>
      <c r="B66" s="538"/>
      <c r="C66" s="2034">
        <v>2</v>
      </c>
      <c r="D66" s="2032"/>
      <c r="E66" s="2033"/>
      <c r="F66" s="4151"/>
      <c r="G66" s="4151"/>
      <c r="H66" s="4151"/>
      <c r="I66" s="4151"/>
      <c r="J66" s="4151"/>
      <c r="K66" s="4151"/>
      <c r="L66" s="4151"/>
      <c r="M66" s="4152"/>
      <c r="S66" s="730"/>
    </row>
    <row r="67" spans="1:19" ht="13.2" customHeight="1">
      <c r="A67" s="2035">
        <f>A54</f>
        <v>30</v>
      </c>
      <c r="B67" s="812" t="str">
        <f>IF('Part VI-Revenues &amp; Expenses'!$N$61=0,"",'Part VI-Revenues &amp; Expenses'!$N$61)</f>
        <v/>
      </c>
      <c r="C67" s="2031">
        <v>3</v>
      </c>
      <c r="D67" s="538"/>
      <c r="E67" s="538"/>
      <c r="F67" s="4149"/>
      <c r="G67" s="4150"/>
      <c r="H67" s="2031"/>
      <c r="I67" s="2031"/>
      <c r="J67" s="2031"/>
      <c r="K67" s="2031"/>
      <c r="L67" s="2031"/>
      <c r="M67" s="2031"/>
      <c r="S67" s="730"/>
    </row>
    <row r="68" spans="1:19" ht="13.2" customHeight="1">
      <c r="A68" s="2035"/>
      <c r="B68" s="538"/>
      <c r="C68" s="2034">
        <v>3</v>
      </c>
      <c r="D68" s="2032"/>
      <c r="E68" s="2033"/>
      <c r="F68" s="4151"/>
      <c r="G68" s="4151"/>
      <c r="H68" s="4151"/>
      <c r="I68" s="4151"/>
      <c r="J68" s="4151"/>
      <c r="K68" s="4151"/>
      <c r="L68" s="4151"/>
      <c r="M68" s="4152"/>
      <c r="S68" s="730"/>
    </row>
    <row r="69" spans="1:19" ht="13.2" customHeight="1">
      <c r="A69" s="2035"/>
      <c r="B69" s="538"/>
      <c r="C69" s="2034">
        <v>3</v>
      </c>
      <c r="D69" s="2032"/>
      <c r="E69" s="2033"/>
      <c r="F69" s="4151"/>
      <c r="G69" s="4151"/>
      <c r="H69" s="4151"/>
      <c r="I69" s="4151"/>
      <c r="J69" s="4151"/>
      <c r="K69" s="4151"/>
      <c r="L69" s="4151"/>
      <c r="M69" s="4152"/>
      <c r="S69" s="730"/>
    </row>
    <row r="70" spans="1:19" ht="13.2" customHeight="1">
      <c r="A70" s="2035"/>
      <c r="B70" s="538"/>
      <c r="C70" s="2034">
        <v>3</v>
      </c>
      <c r="D70" s="2032"/>
      <c r="E70" s="2033"/>
      <c r="F70" s="4151"/>
      <c r="G70" s="4151"/>
      <c r="H70" s="4151"/>
      <c r="I70" s="4151"/>
      <c r="J70" s="4151"/>
      <c r="K70" s="4151"/>
      <c r="L70" s="4151"/>
      <c r="M70" s="4152"/>
      <c r="S70" s="730"/>
    </row>
    <row r="71" spans="1:19" ht="13.2" customHeight="1">
      <c r="A71" s="2035"/>
      <c r="B71" s="538"/>
      <c r="C71" s="2034">
        <v>3</v>
      </c>
      <c r="D71" s="2032"/>
      <c r="E71" s="2033"/>
      <c r="F71" s="4151"/>
      <c r="G71" s="4151"/>
      <c r="H71" s="4151"/>
      <c r="I71" s="4151"/>
      <c r="J71" s="4151"/>
      <c r="K71" s="4151"/>
      <c r="L71" s="4151"/>
      <c r="M71" s="4152"/>
      <c r="S71" s="730"/>
    </row>
    <row r="72" spans="1:19" ht="13.2" customHeight="1">
      <c r="A72" s="2035">
        <f>A54</f>
        <v>30</v>
      </c>
      <c r="B72" s="812" t="str">
        <f>IF('Part VI-Revenues &amp; Expenses'!$O$61=0,"",'Part VI-Revenues &amp; Expenses'!$O$61)</f>
        <v/>
      </c>
      <c r="C72" s="2031">
        <v>4</v>
      </c>
      <c r="D72" s="538"/>
      <c r="E72" s="538"/>
      <c r="F72" s="4149"/>
      <c r="G72" s="4150"/>
      <c r="H72" s="2031"/>
      <c r="I72" s="2031"/>
      <c r="J72" s="2031"/>
      <c r="K72" s="2031"/>
      <c r="L72" s="2031"/>
      <c r="M72" s="2031"/>
      <c r="S72" s="730"/>
    </row>
    <row r="73" spans="1:19" ht="13.2" customHeight="1">
      <c r="A73" s="2039"/>
      <c r="B73" s="538"/>
      <c r="C73" s="2034">
        <v>4</v>
      </c>
      <c r="D73" s="2032"/>
      <c r="E73" s="2033"/>
      <c r="F73" s="4151"/>
      <c r="G73" s="4151"/>
      <c r="H73" s="4151"/>
      <c r="I73" s="4151"/>
      <c r="J73" s="4151"/>
      <c r="K73" s="4151"/>
      <c r="L73" s="4151"/>
      <c r="M73" s="4152"/>
      <c r="S73" s="730"/>
    </row>
    <row r="74" spans="1:19" ht="13.2" customHeight="1">
      <c r="A74" s="2036"/>
      <c r="C74" s="2034">
        <v>4</v>
      </c>
      <c r="D74" s="2032"/>
      <c r="E74" s="2033"/>
      <c r="F74" s="4151"/>
      <c r="G74" s="4151"/>
      <c r="H74" s="4151"/>
      <c r="I74" s="4151"/>
      <c r="J74" s="4151"/>
      <c r="K74" s="4151"/>
      <c r="L74" s="4151"/>
      <c r="M74" s="4152"/>
      <c r="S74" s="730"/>
    </row>
    <row r="75" spans="1:19" ht="13.2" customHeight="1">
      <c r="A75" s="2036"/>
      <c r="C75" s="2034">
        <v>4</v>
      </c>
      <c r="D75" s="2032"/>
      <c r="E75" s="2033"/>
      <c r="F75" s="4151"/>
      <c r="G75" s="4151"/>
      <c r="H75" s="4151"/>
      <c r="I75" s="4151"/>
      <c r="J75" s="4151"/>
      <c r="K75" s="4151"/>
      <c r="L75" s="4151"/>
      <c r="M75" s="4152"/>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49"/>
      <c r="G78" s="4150"/>
      <c r="H78" s="538"/>
      <c r="I78" s="737"/>
      <c r="J78" s="538"/>
      <c r="K78" s="538"/>
      <c r="L78" s="538"/>
      <c r="M78" s="538"/>
      <c r="S78" s="730"/>
    </row>
    <row r="79" spans="1:19" ht="13.2" customHeight="1">
      <c r="A79" s="2039"/>
      <c r="B79" s="538"/>
      <c r="C79" s="538" t="s">
        <v>551</v>
      </c>
      <c r="D79" s="2032"/>
      <c r="E79" s="2033"/>
      <c r="F79" s="4151"/>
      <c r="G79" s="4151"/>
      <c r="H79" s="4151"/>
      <c r="I79" s="4151"/>
      <c r="J79" s="4151"/>
      <c r="K79" s="4151"/>
      <c r="L79" s="4151"/>
      <c r="M79" s="4152"/>
      <c r="S79" s="730"/>
    </row>
    <row r="80" spans="1:19" ht="13.2" customHeight="1">
      <c r="A80" s="2039"/>
      <c r="B80" s="538"/>
      <c r="C80" s="538" t="s">
        <v>551</v>
      </c>
      <c r="D80" s="2032"/>
      <c r="E80" s="2033"/>
      <c r="F80" s="4151"/>
      <c r="G80" s="4151"/>
      <c r="H80" s="4151"/>
      <c r="I80" s="4151"/>
      <c r="J80" s="4151"/>
      <c r="K80" s="4151"/>
      <c r="L80" s="4151"/>
      <c r="M80" s="4152"/>
      <c r="S80" s="730"/>
    </row>
    <row r="81" spans="1:19" ht="13.2" customHeight="1">
      <c r="A81" s="2039"/>
      <c r="B81" s="538"/>
      <c r="C81" s="538" t="s">
        <v>551</v>
      </c>
      <c r="D81" s="2032"/>
      <c r="E81" s="2033"/>
      <c r="F81" s="4151"/>
      <c r="G81" s="4151"/>
      <c r="H81" s="4151"/>
      <c r="I81" s="4151"/>
      <c r="J81" s="4151"/>
      <c r="K81" s="4151"/>
      <c r="L81" s="4151"/>
      <c r="M81" s="4152"/>
      <c r="S81" s="730"/>
    </row>
    <row r="82" spans="1:19" ht="13.2" customHeight="1">
      <c r="A82" s="2035">
        <f>A78</f>
        <v>40</v>
      </c>
      <c r="B82" s="812" t="str">
        <f>IF('Part VI-Revenues &amp; Expenses'!$L$60=0,"",'Part VI-Revenues &amp; Expenses'!$L$60)</f>
        <v/>
      </c>
      <c r="C82" s="2031">
        <v>1</v>
      </c>
      <c r="D82" s="538"/>
      <c r="E82" s="538"/>
      <c r="F82" s="4149"/>
      <c r="G82" s="4150"/>
      <c r="H82" s="2031"/>
      <c r="I82" s="2031"/>
      <c r="J82" s="2031"/>
      <c r="K82" s="2031"/>
      <c r="L82" s="2031"/>
      <c r="M82" s="2031"/>
      <c r="S82" s="730"/>
    </row>
    <row r="83" spans="1:19" ht="13.2" customHeight="1">
      <c r="A83" s="2035"/>
      <c r="B83" s="538"/>
      <c r="C83" s="2034">
        <v>1</v>
      </c>
      <c r="D83" s="2032"/>
      <c r="E83" s="2033"/>
      <c r="F83" s="4151"/>
      <c r="G83" s="4151"/>
      <c r="H83" s="4151"/>
      <c r="I83" s="4151"/>
      <c r="J83" s="4151"/>
      <c r="K83" s="4151"/>
      <c r="L83" s="4151"/>
      <c r="M83" s="4152"/>
      <c r="S83" s="730"/>
    </row>
    <row r="84" spans="1:19" ht="13.2" customHeight="1">
      <c r="A84" s="2035"/>
      <c r="B84" s="538"/>
      <c r="C84" s="2034">
        <v>1</v>
      </c>
      <c r="D84" s="2032"/>
      <c r="E84" s="2033"/>
      <c r="F84" s="4151"/>
      <c r="G84" s="4151"/>
      <c r="H84" s="4151"/>
      <c r="I84" s="4151"/>
      <c r="J84" s="4151"/>
      <c r="K84" s="4151"/>
      <c r="L84" s="4151"/>
      <c r="M84" s="4152"/>
      <c r="S84" s="730"/>
    </row>
    <row r="85" spans="1:19" ht="13.2" customHeight="1">
      <c r="A85" s="2035"/>
      <c r="B85" s="538"/>
      <c r="C85" s="2034">
        <v>1</v>
      </c>
      <c r="D85" s="2032"/>
      <c r="E85" s="2033"/>
      <c r="F85" s="4151"/>
      <c r="G85" s="4151"/>
      <c r="H85" s="4151"/>
      <c r="I85" s="4151"/>
      <c r="J85" s="4151"/>
      <c r="K85" s="4151"/>
      <c r="L85" s="4151"/>
      <c r="M85" s="4152"/>
      <c r="S85" s="730"/>
    </row>
    <row r="86" spans="1:19" ht="13.2" customHeight="1">
      <c r="A86" s="2035">
        <f>A78</f>
        <v>40</v>
      </c>
      <c r="B86" s="812" t="str">
        <f>IF('Part VI-Revenues &amp; Expenses'!$M$60=0,"",'Part VI-Revenues &amp; Expenses'!$M$60)</f>
        <v/>
      </c>
      <c r="C86" s="2031">
        <v>2</v>
      </c>
      <c r="D86" s="538"/>
      <c r="E86" s="538"/>
      <c r="F86" s="4149"/>
      <c r="G86" s="4150"/>
      <c r="H86" s="2031"/>
      <c r="I86" s="2031"/>
      <c r="J86" s="2031"/>
      <c r="K86" s="2031"/>
      <c r="L86" s="2031"/>
      <c r="M86" s="2031"/>
      <c r="S86" s="730"/>
    </row>
    <row r="87" spans="1:19" ht="13.2" customHeight="1">
      <c r="A87" s="2035"/>
      <c r="B87" s="538"/>
      <c r="C87" s="2034">
        <v>2</v>
      </c>
      <c r="D87" s="2032"/>
      <c r="E87" s="2033"/>
      <c r="F87" s="4151"/>
      <c r="G87" s="4151"/>
      <c r="H87" s="4151"/>
      <c r="I87" s="4151"/>
      <c r="J87" s="4151"/>
      <c r="K87" s="4151"/>
      <c r="L87" s="4151"/>
      <c r="M87" s="4152"/>
      <c r="S87" s="730"/>
    </row>
    <row r="88" spans="1:19" ht="13.2" customHeight="1">
      <c r="A88" s="2035"/>
      <c r="B88" s="538"/>
      <c r="C88" s="2034">
        <v>2</v>
      </c>
      <c r="D88" s="2032"/>
      <c r="E88" s="2033"/>
      <c r="F88" s="4151"/>
      <c r="G88" s="4151"/>
      <c r="H88" s="4151"/>
      <c r="I88" s="4151"/>
      <c r="J88" s="4151"/>
      <c r="K88" s="4151"/>
      <c r="L88" s="4151"/>
      <c r="M88" s="4152"/>
      <c r="S88" s="730"/>
    </row>
    <row r="89" spans="1:19" ht="13.2" customHeight="1">
      <c r="A89" s="2035"/>
      <c r="B89" s="538"/>
      <c r="C89" s="2034">
        <v>2</v>
      </c>
      <c r="D89" s="2032"/>
      <c r="E89" s="2033"/>
      <c r="F89" s="4151"/>
      <c r="G89" s="4151"/>
      <c r="H89" s="4151"/>
      <c r="I89" s="4151"/>
      <c r="J89" s="4151"/>
      <c r="K89" s="4151"/>
      <c r="L89" s="4151"/>
      <c r="M89" s="4152"/>
      <c r="S89" s="730"/>
    </row>
    <row r="90" spans="1:19" ht="13.2" customHeight="1">
      <c r="A90" s="2035"/>
      <c r="B90" s="538"/>
      <c r="C90" s="2034">
        <v>2</v>
      </c>
      <c r="D90" s="2032"/>
      <c r="E90" s="2033"/>
      <c r="F90" s="4151"/>
      <c r="G90" s="4151"/>
      <c r="H90" s="4151"/>
      <c r="I90" s="4151"/>
      <c r="J90" s="4151"/>
      <c r="K90" s="4151"/>
      <c r="L90" s="4151"/>
      <c r="M90" s="4152"/>
      <c r="S90" s="730"/>
    </row>
    <row r="91" spans="1:19" ht="13.2" customHeight="1">
      <c r="A91" s="2035">
        <f>A78</f>
        <v>40</v>
      </c>
      <c r="B91" s="812" t="str">
        <f>IF('Part VI-Revenues &amp; Expenses'!$N$60=0,"",'Part VI-Revenues &amp; Expenses'!$N$60)</f>
        <v/>
      </c>
      <c r="C91" s="2031">
        <v>3</v>
      </c>
      <c r="D91" s="538"/>
      <c r="E91" s="538"/>
      <c r="F91" s="4149"/>
      <c r="G91" s="4150"/>
      <c r="H91" s="2031"/>
      <c r="I91" s="2031"/>
      <c r="J91" s="2031"/>
      <c r="K91" s="2031"/>
      <c r="L91" s="2031"/>
      <c r="M91" s="2031"/>
      <c r="S91" s="730"/>
    </row>
    <row r="92" spans="1:19" ht="13.2" customHeight="1">
      <c r="A92" s="2035"/>
      <c r="B92" s="538"/>
      <c r="C92" s="2034">
        <v>3</v>
      </c>
      <c r="D92" s="2032"/>
      <c r="E92" s="2033"/>
      <c r="F92" s="4151"/>
      <c r="G92" s="4151"/>
      <c r="H92" s="4151"/>
      <c r="I92" s="4151"/>
      <c r="J92" s="4151"/>
      <c r="K92" s="4151"/>
      <c r="L92" s="4151"/>
      <c r="M92" s="4152"/>
      <c r="S92" s="730"/>
    </row>
    <row r="93" spans="1:19" ht="13.2" customHeight="1">
      <c r="A93" s="2035"/>
      <c r="B93" s="538"/>
      <c r="C93" s="2034">
        <v>3</v>
      </c>
      <c r="D93" s="2032"/>
      <c r="E93" s="2033"/>
      <c r="F93" s="4151"/>
      <c r="G93" s="4151"/>
      <c r="H93" s="4151"/>
      <c r="I93" s="4151"/>
      <c r="J93" s="4151"/>
      <c r="K93" s="4151"/>
      <c r="L93" s="4151"/>
      <c r="M93" s="4152"/>
      <c r="S93" s="730"/>
    </row>
    <row r="94" spans="1:19" ht="13.2" customHeight="1">
      <c r="A94" s="2035"/>
      <c r="B94" s="538"/>
      <c r="C94" s="2034">
        <v>3</v>
      </c>
      <c r="D94" s="2032"/>
      <c r="E94" s="2033"/>
      <c r="F94" s="4151"/>
      <c r="G94" s="4151"/>
      <c r="H94" s="4151"/>
      <c r="I94" s="4151"/>
      <c r="J94" s="4151"/>
      <c r="K94" s="4151"/>
      <c r="L94" s="4151"/>
      <c r="M94" s="4152"/>
      <c r="S94" s="730"/>
    </row>
    <row r="95" spans="1:19" ht="13.2" customHeight="1">
      <c r="A95" s="2035"/>
      <c r="B95" s="538"/>
      <c r="C95" s="2034">
        <v>3</v>
      </c>
      <c r="D95" s="2032"/>
      <c r="E95" s="2033"/>
      <c r="F95" s="4151"/>
      <c r="G95" s="4151"/>
      <c r="H95" s="4151"/>
      <c r="I95" s="4151"/>
      <c r="J95" s="4151"/>
      <c r="K95" s="4151"/>
      <c r="L95" s="4151"/>
      <c r="M95" s="4152"/>
      <c r="S95" s="730"/>
    </row>
    <row r="96" spans="1:19" ht="13.2" customHeight="1">
      <c r="A96" s="2035">
        <f>A78</f>
        <v>40</v>
      </c>
      <c r="B96" s="812" t="str">
        <f>IF('Part VI-Revenues &amp; Expenses'!$O$60=0,"",'Part VI-Revenues &amp; Expenses'!$O$60)</f>
        <v/>
      </c>
      <c r="C96" s="2031">
        <v>4</v>
      </c>
      <c r="D96" s="538"/>
      <c r="E96" s="538"/>
      <c r="F96" s="4149"/>
      <c r="G96" s="4150"/>
      <c r="H96" s="2031"/>
      <c r="I96" s="2031"/>
      <c r="J96" s="2031"/>
      <c r="K96" s="2031"/>
      <c r="L96" s="2031"/>
      <c r="M96" s="2031"/>
      <c r="S96" s="730"/>
    </row>
    <row r="97" spans="1:19" ht="13.2" customHeight="1">
      <c r="A97" s="2039"/>
      <c r="B97" s="538"/>
      <c r="C97" s="2034">
        <v>4</v>
      </c>
      <c r="D97" s="2032"/>
      <c r="E97" s="2033"/>
      <c r="F97" s="4151"/>
      <c r="G97" s="4151"/>
      <c r="H97" s="4151"/>
      <c r="I97" s="4151"/>
      <c r="J97" s="4151"/>
      <c r="K97" s="4151"/>
      <c r="L97" s="4151"/>
      <c r="M97" s="4152"/>
      <c r="S97" s="730"/>
    </row>
    <row r="98" spans="1:19" ht="13.2" customHeight="1">
      <c r="A98" s="2036"/>
      <c r="C98" s="2034">
        <v>4</v>
      </c>
      <c r="D98" s="2032"/>
      <c r="E98" s="2033"/>
      <c r="F98" s="4151"/>
      <c r="G98" s="4151"/>
      <c r="H98" s="4151"/>
      <c r="I98" s="4151"/>
      <c r="J98" s="4151"/>
      <c r="K98" s="4151"/>
      <c r="L98" s="4151"/>
      <c r="M98" s="4152"/>
      <c r="S98" s="730"/>
    </row>
    <row r="99" spans="1:19" ht="13.2" customHeight="1">
      <c r="A99" s="2036"/>
      <c r="C99" s="2034">
        <v>4</v>
      </c>
      <c r="D99" s="2032"/>
      <c r="E99" s="2033"/>
      <c r="F99" s="4151"/>
      <c r="G99" s="4151"/>
      <c r="H99" s="4151"/>
      <c r="I99" s="4151"/>
      <c r="J99" s="4151"/>
      <c r="K99" s="4151"/>
      <c r="L99" s="4151"/>
      <c r="M99" s="4152"/>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49"/>
      <c r="G102" s="4150"/>
      <c r="H102" s="538"/>
      <c r="I102" s="737"/>
      <c r="J102" s="538"/>
      <c r="K102" s="538"/>
      <c r="L102" s="538"/>
      <c r="M102" s="538"/>
      <c r="S102" s="730"/>
    </row>
    <row r="103" spans="1:19" ht="13.2" customHeight="1">
      <c r="A103" s="2039"/>
      <c r="B103" s="538"/>
      <c r="C103" s="538" t="s">
        <v>551</v>
      </c>
      <c r="D103" s="2032"/>
      <c r="E103" s="2033"/>
      <c r="F103" s="4151"/>
      <c r="G103" s="4151"/>
      <c r="H103" s="4151"/>
      <c r="I103" s="4151"/>
      <c r="J103" s="4151"/>
      <c r="K103" s="4151"/>
      <c r="L103" s="4151"/>
      <c r="M103" s="4152"/>
      <c r="S103" s="730"/>
    </row>
    <row r="104" spans="1:19" ht="13.2" customHeight="1">
      <c r="A104" s="2039"/>
      <c r="B104" s="538"/>
      <c r="C104" s="538" t="s">
        <v>551</v>
      </c>
      <c r="D104" s="2032"/>
      <c r="E104" s="2033"/>
      <c r="F104" s="4151"/>
      <c r="G104" s="4151"/>
      <c r="H104" s="4151"/>
      <c r="I104" s="4151"/>
      <c r="J104" s="4151"/>
      <c r="K104" s="4151"/>
      <c r="L104" s="4151"/>
      <c r="M104" s="4152"/>
      <c r="S104" s="730"/>
    </row>
    <row r="105" spans="1:19" ht="13.2" customHeight="1">
      <c r="A105" s="2039"/>
      <c r="B105" s="538"/>
      <c r="C105" s="538" t="s">
        <v>551</v>
      </c>
      <c r="D105" s="2032"/>
      <c r="E105" s="2033"/>
      <c r="F105" s="4151"/>
      <c r="G105" s="4151"/>
      <c r="H105" s="4151"/>
      <c r="I105" s="4151"/>
      <c r="J105" s="4151"/>
      <c r="K105" s="4151"/>
      <c r="L105" s="4151"/>
      <c r="M105" s="4152"/>
      <c r="S105" s="730"/>
    </row>
    <row r="106" spans="1:19" ht="13.2" customHeight="1">
      <c r="A106" s="2035">
        <f>A102</f>
        <v>50</v>
      </c>
      <c r="B106" s="812">
        <f>IF('Part VI-Revenues &amp; Expenses'!$L$59=0,"",'Part VI-Revenues &amp; Expenses'!$L$59)</f>
        <v>2</v>
      </c>
      <c r="C106" s="2031">
        <v>1</v>
      </c>
      <c r="D106" s="538"/>
      <c r="E106" s="538"/>
      <c r="F106" s="4149"/>
      <c r="G106" s="4150"/>
      <c r="H106" s="2031"/>
      <c r="I106" s="2031"/>
      <c r="J106" s="2031"/>
      <c r="K106" s="2031"/>
      <c r="L106" s="2031"/>
      <c r="M106" s="2031"/>
      <c r="S106" s="730"/>
    </row>
    <row r="107" spans="1:19" ht="13.2" customHeight="1">
      <c r="A107" s="2035"/>
      <c r="B107" s="538"/>
      <c r="C107" s="2034">
        <v>1</v>
      </c>
      <c r="D107" s="2032"/>
      <c r="E107" s="2033"/>
      <c r="F107" s="4151"/>
      <c r="G107" s="4151"/>
      <c r="H107" s="4151"/>
      <c r="I107" s="4151"/>
      <c r="J107" s="4151"/>
      <c r="K107" s="4151"/>
      <c r="L107" s="4151"/>
      <c r="M107" s="4152"/>
      <c r="S107" s="730"/>
    </row>
    <row r="108" spans="1:19" ht="13.2" customHeight="1">
      <c r="A108" s="2035"/>
      <c r="B108" s="538"/>
      <c r="C108" s="2034">
        <v>1</v>
      </c>
      <c r="D108" s="2032"/>
      <c r="E108" s="2033"/>
      <c r="F108" s="4151"/>
      <c r="G108" s="4151"/>
      <c r="H108" s="4151"/>
      <c r="I108" s="4151"/>
      <c r="J108" s="4151"/>
      <c r="K108" s="4151"/>
      <c r="L108" s="4151"/>
      <c r="M108" s="4152"/>
      <c r="S108" s="730"/>
    </row>
    <row r="109" spans="1:19" ht="13.2" customHeight="1">
      <c r="A109" s="2035"/>
      <c r="B109" s="538"/>
      <c r="C109" s="2034">
        <v>1</v>
      </c>
      <c r="D109" s="2032"/>
      <c r="E109" s="2033"/>
      <c r="F109" s="4151"/>
      <c r="G109" s="4151"/>
      <c r="H109" s="4151"/>
      <c r="I109" s="4151"/>
      <c r="J109" s="4151"/>
      <c r="K109" s="4151"/>
      <c r="L109" s="4151"/>
      <c r="M109" s="4152"/>
      <c r="S109" s="730"/>
    </row>
    <row r="110" spans="1:19" ht="13.2" customHeight="1">
      <c r="A110" s="2035">
        <f>A102</f>
        <v>50</v>
      </c>
      <c r="B110" s="812">
        <f>IF('Part VI-Revenues &amp; Expenses'!$M$59=0,"",'Part VI-Revenues &amp; Expenses'!$M$59)</f>
        <v>6</v>
      </c>
      <c r="C110" s="2031">
        <v>2</v>
      </c>
      <c r="D110" s="538"/>
      <c r="E110" s="538"/>
      <c r="F110" s="4149"/>
      <c r="G110" s="4150"/>
      <c r="H110" s="2031"/>
      <c r="I110" s="2031"/>
      <c r="J110" s="2031"/>
      <c r="K110" s="2031"/>
      <c r="L110" s="2031"/>
      <c r="M110" s="2031"/>
      <c r="S110" s="730"/>
    </row>
    <row r="111" spans="1:19" ht="13.2" customHeight="1">
      <c r="A111" s="2035"/>
      <c r="B111" s="538"/>
      <c r="C111" s="2034">
        <v>2</v>
      </c>
      <c r="D111" s="2032"/>
      <c r="E111" s="2033"/>
      <c r="F111" s="4151"/>
      <c r="G111" s="4151"/>
      <c r="H111" s="4151"/>
      <c r="I111" s="4151"/>
      <c r="J111" s="4151"/>
      <c r="K111" s="4151"/>
      <c r="L111" s="4151"/>
      <c r="M111" s="4152"/>
      <c r="S111" s="730"/>
    </row>
    <row r="112" spans="1:19" ht="13.2" customHeight="1">
      <c r="A112" s="2035"/>
      <c r="B112" s="538"/>
      <c r="C112" s="2034">
        <v>2</v>
      </c>
      <c r="D112" s="2032"/>
      <c r="E112" s="2033"/>
      <c r="F112" s="4151"/>
      <c r="G112" s="4151"/>
      <c r="H112" s="4151"/>
      <c r="I112" s="4151"/>
      <c r="J112" s="4151"/>
      <c r="K112" s="4151"/>
      <c r="L112" s="4151"/>
      <c r="M112" s="4152"/>
      <c r="S112" s="730"/>
    </row>
    <row r="113" spans="1:19" ht="13.2" customHeight="1">
      <c r="A113" s="2035"/>
      <c r="B113" s="538"/>
      <c r="C113" s="2034">
        <v>2</v>
      </c>
      <c r="D113" s="2032"/>
      <c r="E113" s="2033"/>
      <c r="F113" s="4151"/>
      <c r="G113" s="4151"/>
      <c r="H113" s="4151"/>
      <c r="I113" s="4151"/>
      <c r="J113" s="4151"/>
      <c r="K113" s="4151"/>
      <c r="L113" s="4151"/>
      <c r="M113" s="4152"/>
      <c r="S113" s="730"/>
    </row>
    <row r="114" spans="1:19" ht="13.2" customHeight="1">
      <c r="A114" s="2035"/>
      <c r="B114" s="538"/>
      <c r="C114" s="2034">
        <v>2</v>
      </c>
      <c r="D114" s="2032"/>
      <c r="E114" s="2033"/>
      <c r="F114" s="4151"/>
      <c r="G114" s="4151"/>
      <c r="H114" s="4151"/>
      <c r="I114" s="4151"/>
      <c r="J114" s="4151"/>
      <c r="K114" s="4151"/>
      <c r="L114" s="4151"/>
      <c r="M114" s="4152"/>
      <c r="S114" s="730"/>
    </row>
    <row r="115" spans="1:19" ht="13.2" customHeight="1">
      <c r="A115" s="2035">
        <f>A102</f>
        <v>50</v>
      </c>
      <c r="B115" s="812">
        <f>IF('Part VI-Revenues &amp; Expenses'!$N$59=0,"",'Part VI-Revenues &amp; Expenses'!$N$59)</f>
        <v>4</v>
      </c>
      <c r="C115" s="2031">
        <v>3</v>
      </c>
      <c r="D115" s="538"/>
      <c r="E115" s="538"/>
      <c r="F115" s="4149"/>
      <c r="G115" s="4150"/>
      <c r="H115" s="2031"/>
      <c r="I115" s="2031"/>
      <c r="J115" s="2031"/>
      <c r="K115" s="2031"/>
      <c r="L115" s="2031"/>
      <c r="M115" s="2031"/>
      <c r="S115" s="730"/>
    </row>
    <row r="116" spans="1:19" ht="13.2" customHeight="1">
      <c r="A116" s="2035"/>
      <c r="B116" s="538"/>
      <c r="C116" s="2034">
        <v>3</v>
      </c>
      <c r="D116" s="2032"/>
      <c r="E116" s="2033"/>
      <c r="F116" s="4151"/>
      <c r="G116" s="4151"/>
      <c r="H116" s="4151"/>
      <c r="I116" s="4151"/>
      <c r="J116" s="4151"/>
      <c r="K116" s="4151"/>
      <c r="L116" s="4151"/>
      <c r="M116" s="4152"/>
      <c r="S116" s="730"/>
    </row>
    <row r="117" spans="1:19" ht="13.2" customHeight="1">
      <c r="A117" s="2035"/>
      <c r="B117" s="538"/>
      <c r="C117" s="2034">
        <v>3</v>
      </c>
      <c r="D117" s="2032"/>
      <c r="E117" s="2033"/>
      <c r="F117" s="4151"/>
      <c r="G117" s="4151"/>
      <c r="H117" s="4151"/>
      <c r="I117" s="4151"/>
      <c r="J117" s="4151"/>
      <c r="K117" s="4151"/>
      <c r="L117" s="4151"/>
      <c r="M117" s="4152"/>
      <c r="S117" s="730"/>
    </row>
    <row r="118" spans="1:19" ht="13.2" customHeight="1">
      <c r="A118" s="2035"/>
      <c r="B118" s="538"/>
      <c r="C118" s="2034">
        <v>3</v>
      </c>
      <c r="D118" s="2032"/>
      <c r="E118" s="2033"/>
      <c r="F118" s="4151"/>
      <c r="G118" s="4151"/>
      <c r="H118" s="4151"/>
      <c r="I118" s="4151"/>
      <c r="J118" s="4151"/>
      <c r="K118" s="4151"/>
      <c r="L118" s="4151"/>
      <c r="M118" s="4152"/>
      <c r="S118" s="730"/>
    </row>
    <row r="119" spans="1:19" ht="13.2" customHeight="1">
      <c r="A119" s="2035"/>
      <c r="B119" s="538"/>
      <c r="C119" s="2034">
        <v>3</v>
      </c>
      <c r="D119" s="2032"/>
      <c r="E119" s="2033"/>
      <c r="F119" s="4151"/>
      <c r="G119" s="4151"/>
      <c r="H119" s="4151"/>
      <c r="I119" s="4151"/>
      <c r="J119" s="4151"/>
      <c r="K119" s="4151"/>
      <c r="L119" s="4151"/>
      <c r="M119" s="4152"/>
      <c r="S119" s="730"/>
    </row>
    <row r="120" spans="1:19" ht="13.2" customHeight="1">
      <c r="A120" s="2035">
        <f>A102</f>
        <v>50</v>
      </c>
      <c r="B120" s="812" t="str">
        <f>IF('Part VI-Revenues &amp; Expenses'!$O$59=0,"",'Part VI-Revenues &amp; Expenses'!$O$59)</f>
        <v/>
      </c>
      <c r="C120" s="2031">
        <v>4</v>
      </c>
      <c r="D120" s="538"/>
      <c r="E120" s="538"/>
      <c r="F120" s="4149"/>
      <c r="G120" s="4150"/>
      <c r="H120" s="2031"/>
      <c r="I120" s="2031"/>
      <c r="J120" s="2031"/>
      <c r="K120" s="2031"/>
      <c r="L120" s="2031"/>
      <c r="M120" s="2031"/>
      <c r="S120" s="730"/>
    </row>
    <row r="121" spans="1:19" ht="13.2" customHeight="1">
      <c r="A121" s="2039"/>
      <c r="B121" s="538"/>
      <c r="C121" s="2034">
        <v>4</v>
      </c>
      <c r="D121" s="2032"/>
      <c r="E121" s="2033"/>
      <c r="F121" s="4151"/>
      <c r="G121" s="4151"/>
      <c r="H121" s="4151"/>
      <c r="I121" s="4151"/>
      <c r="J121" s="4151"/>
      <c r="K121" s="4151"/>
      <c r="L121" s="4151"/>
      <c r="M121" s="4152"/>
      <c r="S121" s="730"/>
    </row>
    <row r="122" spans="1:19" ht="13.2" customHeight="1">
      <c r="A122" s="2036"/>
      <c r="C122" s="2034">
        <v>4</v>
      </c>
      <c r="D122" s="2032"/>
      <c r="E122" s="2033"/>
      <c r="F122" s="4151"/>
      <c r="G122" s="4151"/>
      <c r="H122" s="4151"/>
      <c r="I122" s="4151"/>
      <c r="J122" s="4151"/>
      <c r="K122" s="4151"/>
      <c r="L122" s="4151"/>
      <c r="M122" s="4152"/>
      <c r="S122" s="730"/>
    </row>
    <row r="123" spans="1:19" ht="13.2" customHeight="1">
      <c r="A123" s="2036"/>
      <c r="C123" s="2034">
        <v>4</v>
      </c>
      <c r="D123" s="2032"/>
      <c r="E123" s="2033"/>
      <c r="F123" s="4151"/>
      <c r="G123" s="4151"/>
      <c r="H123" s="4151"/>
      <c r="I123" s="4151"/>
      <c r="J123" s="4151"/>
      <c r="K123" s="4151"/>
      <c r="L123" s="4151"/>
      <c r="M123" s="4152"/>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49"/>
      <c r="G126" s="4150"/>
      <c r="H126" s="538"/>
      <c r="I126" s="737"/>
      <c r="J126" s="538"/>
      <c r="K126" s="538"/>
      <c r="L126" s="538"/>
      <c r="M126" s="538"/>
      <c r="S126" s="730"/>
    </row>
    <row r="127" spans="1:19" ht="13.2" customHeight="1">
      <c r="A127" s="2039"/>
      <c r="B127" s="538"/>
      <c r="C127" s="538" t="s">
        <v>551</v>
      </c>
      <c r="D127" s="2032"/>
      <c r="E127" s="2033"/>
      <c r="F127" s="4151"/>
      <c r="G127" s="4151"/>
      <c r="H127" s="4151"/>
      <c r="I127" s="4151"/>
      <c r="J127" s="4151"/>
      <c r="K127" s="4151"/>
      <c r="L127" s="4151"/>
      <c r="M127" s="4152"/>
      <c r="S127" s="730"/>
    </row>
    <row r="128" spans="1:19" ht="13.2" customHeight="1">
      <c r="A128" s="2039"/>
      <c r="B128" s="538"/>
      <c r="C128" s="538" t="s">
        <v>551</v>
      </c>
      <c r="D128" s="2032"/>
      <c r="E128" s="2033"/>
      <c r="F128" s="4151"/>
      <c r="G128" s="4151"/>
      <c r="H128" s="4151"/>
      <c r="I128" s="4151"/>
      <c r="J128" s="4151"/>
      <c r="K128" s="4151"/>
      <c r="L128" s="4151"/>
      <c r="M128" s="4152"/>
      <c r="S128" s="730"/>
    </row>
    <row r="129" spans="1:19" ht="13.2" customHeight="1">
      <c r="A129" s="2039"/>
      <c r="B129" s="538"/>
      <c r="C129" s="538" t="s">
        <v>551</v>
      </c>
      <c r="D129" s="2032"/>
      <c r="E129" s="2033"/>
      <c r="F129" s="4151"/>
      <c r="G129" s="4151"/>
      <c r="H129" s="4151"/>
      <c r="I129" s="4151"/>
      <c r="J129" s="4151"/>
      <c r="K129" s="4151"/>
      <c r="L129" s="4151"/>
      <c r="M129" s="4152"/>
      <c r="S129" s="730"/>
    </row>
    <row r="130" spans="1:19" ht="13.2" customHeight="1">
      <c r="A130" s="2035">
        <f>A126</f>
        <v>60</v>
      </c>
      <c r="B130" s="812">
        <f>IF('Part VI-Revenues &amp; Expenses'!$L$58=0,"",'Part VI-Revenues &amp; Expenses'!$L$58)</f>
        <v>6</v>
      </c>
      <c r="C130" s="2031">
        <v>1</v>
      </c>
      <c r="D130" s="538"/>
      <c r="E130" s="538"/>
      <c r="F130" s="4149"/>
      <c r="G130" s="4150"/>
      <c r="H130" s="2031"/>
      <c r="I130" s="2031"/>
      <c r="J130" s="2031"/>
      <c r="K130" s="2031"/>
      <c r="L130" s="2031"/>
      <c r="M130" s="2031"/>
      <c r="S130" s="730"/>
    </row>
    <row r="131" spans="1:19" ht="13.2" customHeight="1">
      <c r="A131" s="2035"/>
      <c r="B131" s="538"/>
      <c r="C131" s="2034">
        <v>1</v>
      </c>
      <c r="D131" s="2032"/>
      <c r="E131" s="2033"/>
      <c r="F131" s="4151"/>
      <c r="G131" s="4151"/>
      <c r="H131" s="4151"/>
      <c r="I131" s="4151"/>
      <c r="J131" s="4151"/>
      <c r="K131" s="4151"/>
      <c r="L131" s="4151"/>
      <c r="M131" s="4152"/>
      <c r="S131" s="730"/>
    </row>
    <row r="132" spans="1:19" ht="13.2" customHeight="1">
      <c r="A132" s="2035"/>
      <c r="B132" s="538"/>
      <c r="C132" s="2034">
        <v>1</v>
      </c>
      <c r="D132" s="2032"/>
      <c r="E132" s="2033"/>
      <c r="F132" s="4151"/>
      <c r="G132" s="4151"/>
      <c r="H132" s="4151"/>
      <c r="I132" s="4151"/>
      <c r="J132" s="4151"/>
      <c r="K132" s="4151"/>
      <c r="L132" s="4151"/>
      <c r="M132" s="4152"/>
      <c r="S132" s="730"/>
    </row>
    <row r="133" spans="1:19" ht="13.2" customHeight="1">
      <c r="A133" s="2035"/>
      <c r="B133" s="538"/>
      <c r="C133" s="2034">
        <v>1</v>
      </c>
      <c r="D133" s="2032"/>
      <c r="E133" s="2033"/>
      <c r="F133" s="4151"/>
      <c r="G133" s="4151"/>
      <c r="H133" s="4151"/>
      <c r="I133" s="4151"/>
      <c r="J133" s="4151"/>
      <c r="K133" s="4151"/>
      <c r="L133" s="4151"/>
      <c r="M133" s="4152"/>
      <c r="S133" s="730"/>
    </row>
    <row r="134" spans="1:19" ht="13.2" customHeight="1">
      <c r="A134" s="2035">
        <f>A126</f>
        <v>60</v>
      </c>
      <c r="B134" s="812">
        <f>IF('Part VI-Revenues &amp; Expenses'!$M$58=0,"",'Part VI-Revenues &amp; Expenses'!$M$58)</f>
        <v>30</v>
      </c>
      <c r="C134" s="2031">
        <v>2</v>
      </c>
      <c r="D134" s="538"/>
      <c r="E134" s="538"/>
      <c r="F134" s="4149"/>
      <c r="G134" s="4150"/>
      <c r="H134" s="2031"/>
      <c r="I134" s="2031"/>
      <c r="J134" s="2031"/>
      <c r="K134" s="2031"/>
      <c r="L134" s="2031"/>
      <c r="M134" s="2031"/>
      <c r="S134" s="730"/>
    </row>
    <row r="135" spans="1:19" ht="13.2" customHeight="1">
      <c r="A135" s="2035"/>
      <c r="B135" s="538"/>
      <c r="C135" s="2034">
        <v>2</v>
      </c>
      <c r="D135" s="2032"/>
      <c r="E135" s="2033"/>
      <c r="F135" s="4151"/>
      <c r="G135" s="4151"/>
      <c r="H135" s="4151"/>
      <c r="I135" s="4151"/>
      <c r="J135" s="4151"/>
      <c r="K135" s="4151"/>
      <c r="L135" s="4151"/>
      <c r="M135" s="4152"/>
      <c r="S135" s="730"/>
    </row>
    <row r="136" spans="1:19" ht="13.2" customHeight="1">
      <c r="A136" s="2035"/>
      <c r="B136" s="538"/>
      <c r="C136" s="2034">
        <v>2</v>
      </c>
      <c r="D136" s="2032"/>
      <c r="E136" s="2033"/>
      <c r="F136" s="4151"/>
      <c r="G136" s="4151"/>
      <c r="H136" s="4151"/>
      <c r="I136" s="4151"/>
      <c r="J136" s="4151"/>
      <c r="K136" s="4151"/>
      <c r="L136" s="4151"/>
      <c r="M136" s="4152"/>
      <c r="S136" s="730"/>
    </row>
    <row r="137" spans="1:19" ht="13.2" customHeight="1">
      <c r="A137" s="2035"/>
      <c r="B137" s="538"/>
      <c r="C137" s="2034">
        <v>2</v>
      </c>
      <c r="D137" s="2032"/>
      <c r="E137" s="2033"/>
      <c r="F137" s="4151"/>
      <c r="G137" s="4151"/>
      <c r="H137" s="4151"/>
      <c r="I137" s="4151"/>
      <c r="J137" s="4151"/>
      <c r="K137" s="4151"/>
      <c r="L137" s="4151"/>
      <c r="M137" s="4152"/>
      <c r="S137" s="730"/>
    </row>
    <row r="138" spans="1:19" ht="13.2" customHeight="1">
      <c r="A138" s="2035"/>
      <c r="B138" s="538"/>
      <c r="C138" s="2034">
        <v>2</v>
      </c>
      <c r="D138" s="2032"/>
      <c r="E138" s="2033"/>
      <c r="F138" s="4151"/>
      <c r="G138" s="4151"/>
      <c r="H138" s="4151"/>
      <c r="I138" s="4151"/>
      <c r="J138" s="4151"/>
      <c r="K138" s="4151"/>
      <c r="L138" s="4151"/>
      <c r="M138" s="4152"/>
      <c r="S138" s="730"/>
    </row>
    <row r="139" spans="1:19" ht="13.2" customHeight="1">
      <c r="A139" s="2035">
        <f>A126</f>
        <v>60</v>
      </c>
      <c r="B139" s="812">
        <f>IF('Part VI-Revenues &amp; Expenses'!$N$58=0,"",'Part VI-Revenues &amp; Expenses'!$N$58)</f>
        <v>12</v>
      </c>
      <c r="C139" s="2031">
        <v>3</v>
      </c>
      <c r="D139" s="538"/>
      <c r="E139" s="538"/>
      <c r="F139" s="4149"/>
      <c r="G139" s="4150"/>
      <c r="H139" s="2031"/>
      <c r="I139" s="2031"/>
      <c r="J139" s="2031"/>
      <c r="K139" s="2031"/>
      <c r="L139" s="2031"/>
      <c r="M139" s="2031"/>
      <c r="S139" s="730"/>
    </row>
    <row r="140" spans="1:19" ht="13.2" customHeight="1">
      <c r="A140" s="2035"/>
      <c r="B140" s="538"/>
      <c r="C140" s="2034">
        <v>3</v>
      </c>
      <c r="D140" s="2032"/>
      <c r="E140" s="2033"/>
      <c r="F140" s="4151"/>
      <c r="G140" s="4151"/>
      <c r="H140" s="4151"/>
      <c r="I140" s="4151"/>
      <c r="J140" s="4151"/>
      <c r="K140" s="4151"/>
      <c r="L140" s="4151"/>
      <c r="M140" s="4152"/>
      <c r="S140" s="730"/>
    </row>
    <row r="141" spans="1:19" ht="13.2" customHeight="1">
      <c r="A141" s="2035"/>
      <c r="B141" s="538"/>
      <c r="C141" s="2034">
        <v>3</v>
      </c>
      <c r="D141" s="2032"/>
      <c r="E141" s="2033"/>
      <c r="F141" s="4151"/>
      <c r="G141" s="4151"/>
      <c r="H141" s="4151"/>
      <c r="I141" s="4151"/>
      <c r="J141" s="4151"/>
      <c r="K141" s="4151"/>
      <c r="L141" s="4151"/>
      <c r="M141" s="4152"/>
      <c r="S141" s="730"/>
    </row>
    <row r="142" spans="1:19" ht="13.2" customHeight="1">
      <c r="A142" s="2035"/>
      <c r="B142" s="538"/>
      <c r="C142" s="2034">
        <v>3</v>
      </c>
      <c r="D142" s="2032"/>
      <c r="E142" s="2033"/>
      <c r="F142" s="4151"/>
      <c r="G142" s="4151"/>
      <c r="H142" s="4151"/>
      <c r="I142" s="4151"/>
      <c r="J142" s="4151"/>
      <c r="K142" s="4151"/>
      <c r="L142" s="4151"/>
      <c r="M142" s="4152"/>
      <c r="S142" s="730"/>
    </row>
    <row r="143" spans="1:19" ht="13.2" customHeight="1">
      <c r="A143" s="2035"/>
      <c r="B143" s="538"/>
      <c r="C143" s="2034">
        <v>3</v>
      </c>
      <c r="D143" s="2032"/>
      <c r="E143" s="2033"/>
      <c r="F143" s="4151"/>
      <c r="G143" s="4151"/>
      <c r="H143" s="4151"/>
      <c r="I143" s="4151"/>
      <c r="J143" s="4151"/>
      <c r="K143" s="4151"/>
      <c r="L143" s="4151"/>
      <c r="M143" s="4152"/>
      <c r="S143" s="730"/>
    </row>
    <row r="144" spans="1:19" ht="13.2" customHeight="1">
      <c r="A144" s="2035">
        <f>A126</f>
        <v>60</v>
      </c>
      <c r="B144" s="812" t="str">
        <f>IF('Part VI-Revenues &amp; Expenses'!$O$58=0,"",'Part VI-Revenues &amp; Expenses'!$O$58)</f>
        <v/>
      </c>
      <c r="C144" s="2031">
        <v>4</v>
      </c>
      <c r="D144" s="538"/>
      <c r="E144" s="538"/>
      <c r="F144" s="4149"/>
      <c r="G144" s="4150"/>
      <c r="H144" s="2031"/>
      <c r="I144" s="2031"/>
      <c r="J144" s="2031"/>
      <c r="K144" s="2031"/>
      <c r="L144" s="2031"/>
      <c r="M144" s="2031"/>
      <c r="S144" s="730"/>
    </row>
    <row r="145" spans="1:19" ht="13.2" customHeight="1">
      <c r="A145" s="2039"/>
      <c r="B145" s="538"/>
      <c r="C145" s="2034">
        <v>4</v>
      </c>
      <c r="D145" s="2032"/>
      <c r="E145" s="2033"/>
      <c r="F145" s="4151"/>
      <c r="G145" s="4151"/>
      <c r="H145" s="4151"/>
      <c r="I145" s="4151"/>
      <c r="J145" s="4151"/>
      <c r="K145" s="4151"/>
      <c r="L145" s="4151"/>
      <c r="M145" s="4152"/>
      <c r="S145" s="730"/>
    </row>
    <row r="146" spans="1:19" ht="13.2" customHeight="1">
      <c r="A146" s="2036"/>
      <c r="C146" s="2034">
        <v>4</v>
      </c>
      <c r="D146" s="2032"/>
      <c r="E146" s="2033"/>
      <c r="F146" s="4151"/>
      <c r="G146" s="4151"/>
      <c r="H146" s="4151"/>
      <c r="I146" s="4151"/>
      <c r="J146" s="4151"/>
      <c r="K146" s="4151"/>
      <c r="L146" s="4151"/>
      <c r="M146" s="4152"/>
      <c r="S146" s="730"/>
    </row>
    <row r="147" spans="1:19" ht="13.2" customHeight="1">
      <c r="A147" s="2036"/>
      <c r="C147" s="2034">
        <v>4</v>
      </c>
      <c r="D147" s="2032"/>
      <c r="E147" s="2033"/>
      <c r="F147" s="4151"/>
      <c r="G147" s="4151"/>
      <c r="H147" s="4151"/>
      <c r="I147" s="4151"/>
      <c r="J147" s="4151"/>
      <c r="K147" s="4151"/>
      <c r="L147" s="4151"/>
      <c r="M147" s="4152"/>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49"/>
      <c r="G150" s="4150"/>
      <c r="H150" s="538"/>
      <c r="I150" s="737"/>
      <c r="J150" s="538"/>
      <c r="K150" s="538"/>
      <c r="L150" s="538"/>
      <c r="M150" s="538"/>
      <c r="S150" s="730"/>
    </row>
    <row r="151" spans="1:19" ht="13.2" customHeight="1">
      <c r="A151" s="2039"/>
      <c r="B151" s="538"/>
      <c r="C151" s="538" t="s">
        <v>551</v>
      </c>
      <c r="D151" s="2032"/>
      <c r="E151" s="2033"/>
      <c r="F151" s="4151"/>
      <c r="G151" s="4151"/>
      <c r="H151" s="4151"/>
      <c r="I151" s="4151"/>
      <c r="J151" s="4151"/>
      <c r="K151" s="4151"/>
      <c r="L151" s="4151"/>
      <c r="M151" s="4152"/>
      <c r="S151" s="730"/>
    </row>
    <row r="152" spans="1:19" ht="13.2" customHeight="1">
      <c r="A152" s="2039"/>
      <c r="B152" s="538"/>
      <c r="C152" s="538" t="s">
        <v>551</v>
      </c>
      <c r="D152" s="2032"/>
      <c r="E152" s="2033"/>
      <c r="F152" s="4151"/>
      <c r="G152" s="4151"/>
      <c r="H152" s="4151"/>
      <c r="I152" s="4151"/>
      <c r="J152" s="4151"/>
      <c r="K152" s="4151"/>
      <c r="L152" s="4151"/>
      <c r="M152" s="4152"/>
      <c r="S152" s="730"/>
    </row>
    <row r="153" spans="1:19" ht="13.2" customHeight="1">
      <c r="A153" s="2039"/>
      <c r="B153" s="538"/>
      <c r="C153" s="538" t="s">
        <v>551</v>
      </c>
      <c r="D153" s="2032"/>
      <c r="E153" s="2033"/>
      <c r="F153" s="4151"/>
      <c r="G153" s="4151"/>
      <c r="H153" s="4151"/>
      <c r="I153" s="4151"/>
      <c r="J153" s="4151"/>
      <c r="K153" s="4151"/>
      <c r="L153" s="4151"/>
      <c r="M153" s="4152"/>
      <c r="S153" s="730"/>
    </row>
    <row r="154" spans="1:19" ht="13.2" customHeight="1">
      <c r="A154" s="2035">
        <f>A150</f>
        <v>70</v>
      </c>
      <c r="B154" s="812" t="str">
        <f>IF('Part VI-Revenues &amp; Expenses'!$L$57=0,"",'Part VI-Revenues &amp; Expenses'!$L$57)</f>
        <v/>
      </c>
      <c r="C154" s="2031">
        <v>1</v>
      </c>
      <c r="D154" s="538"/>
      <c r="E154" s="538"/>
      <c r="F154" s="4149"/>
      <c r="G154" s="4150"/>
      <c r="H154" s="2031"/>
      <c r="I154" s="2031"/>
      <c r="J154" s="2031"/>
      <c r="K154" s="2031"/>
      <c r="L154" s="2031"/>
      <c r="M154" s="2031"/>
      <c r="S154" s="730"/>
    </row>
    <row r="155" spans="1:19" ht="13.2" customHeight="1">
      <c r="A155" s="2035"/>
      <c r="B155" s="538"/>
      <c r="C155" s="2034">
        <v>1</v>
      </c>
      <c r="D155" s="2032"/>
      <c r="E155" s="2033"/>
      <c r="F155" s="4151"/>
      <c r="G155" s="4151"/>
      <c r="H155" s="4151"/>
      <c r="I155" s="4151"/>
      <c r="J155" s="4151"/>
      <c r="K155" s="4151"/>
      <c r="L155" s="4151"/>
      <c r="M155" s="4152"/>
      <c r="S155" s="730"/>
    </row>
    <row r="156" spans="1:19" ht="13.2" customHeight="1">
      <c r="A156" s="2035"/>
      <c r="B156" s="538"/>
      <c r="C156" s="2034">
        <v>1</v>
      </c>
      <c r="D156" s="2032"/>
      <c r="E156" s="2033"/>
      <c r="F156" s="4151"/>
      <c r="G156" s="4151"/>
      <c r="H156" s="4151"/>
      <c r="I156" s="4151"/>
      <c r="J156" s="4151"/>
      <c r="K156" s="4151"/>
      <c r="L156" s="4151"/>
      <c r="M156" s="4152"/>
      <c r="S156" s="730"/>
    </row>
    <row r="157" spans="1:19" ht="13.2" customHeight="1">
      <c r="A157" s="2035"/>
      <c r="B157" s="538"/>
      <c r="C157" s="2034">
        <v>1</v>
      </c>
      <c r="D157" s="2032"/>
      <c r="E157" s="2033"/>
      <c r="F157" s="4151"/>
      <c r="G157" s="4151"/>
      <c r="H157" s="4151"/>
      <c r="I157" s="4151"/>
      <c r="J157" s="4151"/>
      <c r="K157" s="4151"/>
      <c r="L157" s="4151"/>
      <c r="M157" s="4152"/>
      <c r="S157" s="730"/>
    </row>
    <row r="158" spans="1:19" ht="13.2" customHeight="1">
      <c r="A158" s="2035">
        <f>A150</f>
        <v>70</v>
      </c>
      <c r="B158" s="812" t="str">
        <f>IF('Part VI-Revenues &amp; Expenses'!$M$57=0,"",'Part VI-Revenues &amp; Expenses'!$M$57)</f>
        <v/>
      </c>
      <c r="C158" s="2031">
        <v>2</v>
      </c>
      <c r="D158" s="538"/>
      <c r="E158" s="538"/>
      <c r="F158" s="4149"/>
      <c r="G158" s="4150"/>
      <c r="H158" s="2031"/>
      <c r="I158" s="2031"/>
      <c r="J158" s="2031"/>
      <c r="K158" s="2031"/>
      <c r="L158" s="2031"/>
      <c r="M158" s="2031"/>
      <c r="S158" s="730"/>
    </row>
    <row r="159" spans="1:19" ht="13.2" customHeight="1">
      <c r="A159" s="2035"/>
      <c r="B159" s="538"/>
      <c r="C159" s="2034">
        <v>2</v>
      </c>
      <c r="D159" s="2032"/>
      <c r="E159" s="2033"/>
      <c r="F159" s="4151"/>
      <c r="G159" s="4151"/>
      <c r="H159" s="4151"/>
      <c r="I159" s="4151"/>
      <c r="J159" s="4151"/>
      <c r="K159" s="4151"/>
      <c r="L159" s="4151"/>
      <c r="M159" s="4152"/>
      <c r="S159" s="730"/>
    </row>
    <row r="160" spans="1:19" ht="13.2" customHeight="1">
      <c r="A160" s="2035"/>
      <c r="B160" s="538"/>
      <c r="C160" s="2034">
        <v>2</v>
      </c>
      <c r="D160" s="2032"/>
      <c r="E160" s="2033"/>
      <c r="F160" s="4151"/>
      <c r="G160" s="4151"/>
      <c r="H160" s="4151"/>
      <c r="I160" s="4151"/>
      <c r="J160" s="4151"/>
      <c r="K160" s="4151"/>
      <c r="L160" s="4151"/>
      <c r="M160" s="4152"/>
      <c r="S160" s="730"/>
    </row>
    <row r="161" spans="1:19" ht="13.2" customHeight="1">
      <c r="A161" s="2035"/>
      <c r="B161" s="538"/>
      <c r="C161" s="2034">
        <v>2</v>
      </c>
      <c r="D161" s="2032"/>
      <c r="E161" s="2033"/>
      <c r="F161" s="4151"/>
      <c r="G161" s="4151"/>
      <c r="H161" s="4151"/>
      <c r="I161" s="4151"/>
      <c r="J161" s="4151"/>
      <c r="K161" s="4151"/>
      <c r="L161" s="4151"/>
      <c r="M161" s="4152"/>
      <c r="S161" s="730"/>
    </row>
    <row r="162" spans="1:19" ht="13.2" customHeight="1">
      <c r="A162" s="2035"/>
      <c r="B162" s="538"/>
      <c r="C162" s="2034">
        <v>2</v>
      </c>
      <c r="D162" s="2032"/>
      <c r="E162" s="2033"/>
      <c r="F162" s="4151"/>
      <c r="G162" s="4151"/>
      <c r="H162" s="4151"/>
      <c r="I162" s="4151"/>
      <c r="J162" s="4151"/>
      <c r="K162" s="4151"/>
      <c r="L162" s="4151"/>
      <c r="M162" s="4152"/>
      <c r="S162" s="730"/>
    </row>
    <row r="163" spans="1:19" ht="13.2" customHeight="1">
      <c r="A163" s="2035">
        <f>A150</f>
        <v>70</v>
      </c>
      <c r="B163" s="812" t="str">
        <f>IF('Part VI-Revenues &amp; Expenses'!$N$57=0,"",'Part VI-Revenues &amp; Expenses'!$N$57)</f>
        <v/>
      </c>
      <c r="C163" s="2031">
        <v>3</v>
      </c>
      <c r="D163" s="538"/>
      <c r="E163" s="538"/>
      <c r="F163" s="4149"/>
      <c r="G163" s="4150"/>
      <c r="H163" s="2031"/>
      <c r="I163" s="2031"/>
      <c r="J163" s="2031"/>
      <c r="K163" s="2031"/>
      <c r="L163" s="2031"/>
      <c r="M163" s="2031"/>
      <c r="S163" s="730"/>
    </row>
    <row r="164" spans="1:19" ht="13.2" customHeight="1">
      <c r="A164" s="2035"/>
      <c r="B164" s="538"/>
      <c r="C164" s="2034">
        <v>3</v>
      </c>
      <c r="D164" s="2032"/>
      <c r="E164" s="2033"/>
      <c r="F164" s="4151"/>
      <c r="G164" s="4151"/>
      <c r="H164" s="4151"/>
      <c r="I164" s="4151"/>
      <c r="J164" s="4151"/>
      <c r="K164" s="4151"/>
      <c r="L164" s="4151"/>
      <c r="M164" s="4152"/>
      <c r="S164" s="730"/>
    </row>
    <row r="165" spans="1:19" ht="13.2" customHeight="1">
      <c r="A165" s="2035"/>
      <c r="B165" s="538"/>
      <c r="C165" s="2034">
        <v>3</v>
      </c>
      <c r="D165" s="2032"/>
      <c r="E165" s="2033"/>
      <c r="F165" s="4151"/>
      <c r="G165" s="4151"/>
      <c r="H165" s="4151"/>
      <c r="I165" s="4151"/>
      <c r="J165" s="4151"/>
      <c r="K165" s="4151"/>
      <c r="L165" s="4151"/>
      <c r="M165" s="4152"/>
      <c r="S165" s="730"/>
    </row>
    <row r="166" spans="1:19" ht="13.2" customHeight="1">
      <c r="A166" s="2035"/>
      <c r="B166" s="538"/>
      <c r="C166" s="2034">
        <v>3</v>
      </c>
      <c r="D166" s="2032"/>
      <c r="E166" s="2033"/>
      <c r="F166" s="4151"/>
      <c r="G166" s="4151"/>
      <c r="H166" s="4151"/>
      <c r="I166" s="4151"/>
      <c r="J166" s="4151"/>
      <c r="K166" s="4151"/>
      <c r="L166" s="4151"/>
      <c r="M166" s="4152"/>
      <c r="S166" s="730"/>
    </row>
    <row r="167" spans="1:19" ht="13.2" customHeight="1">
      <c r="A167" s="2035"/>
      <c r="B167" s="538"/>
      <c r="C167" s="2034">
        <v>3</v>
      </c>
      <c r="D167" s="2032"/>
      <c r="E167" s="2033"/>
      <c r="F167" s="4151"/>
      <c r="G167" s="4151"/>
      <c r="H167" s="4151"/>
      <c r="I167" s="4151"/>
      <c r="J167" s="4151"/>
      <c r="K167" s="4151"/>
      <c r="L167" s="4151"/>
      <c r="M167" s="4152"/>
      <c r="S167" s="730"/>
    </row>
    <row r="168" spans="1:19" ht="13.2" customHeight="1">
      <c r="A168" s="2035">
        <f>A150</f>
        <v>70</v>
      </c>
      <c r="B168" s="812" t="str">
        <f>IF('Part VI-Revenues &amp; Expenses'!$O$57=0,"",'Part VI-Revenues &amp; Expenses'!$O$57)</f>
        <v/>
      </c>
      <c r="C168" s="2031">
        <v>4</v>
      </c>
      <c r="D168" s="538"/>
      <c r="E168" s="538"/>
      <c r="F168" s="4149"/>
      <c r="G168" s="4150"/>
      <c r="H168" s="2031"/>
      <c r="I168" s="2031"/>
      <c r="J168" s="2031"/>
      <c r="K168" s="2031"/>
      <c r="L168" s="2031"/>
      <c r="M168" s="2031"/>
      <c r="S168" s="730"/>
    </row>
    <row r="169" spans="1:19" ht="13.2" customHeight="1">
      <c r="A169" s="2039"/>
      <c r="B169" s="538"/>
      <c r="C169" s="2034">
        <v>4</v>
      </c>
      <c r="D169" s="2032"/>
      <c r="E169" s="2033"/>
      <c r="F169" s="4151"/>
      <c r="G169" s="4151"/>
      <c r="H169" s="4151"/>
      <c r="I169" s="4151"/>
      <c r="J169" s="4151"/>
      <c r="K169" s="4151"/>
      <c r="L169" s="4151"/>
      <c r="M169" s="4152"/>
      <c r="S169" s="730"/>
    </row>
    <row r="170" spans="1:19" ht="13.2" customHeight="1">
      <c r="A170" s="2036"/>
      <c r="C170" s="2034">
        <v>4</v>
      </c>
      <c r="D170" s="2032"/>
      <c r="E170" s="2033"/>
      <c r="F170" s="4151"/>
      <c r="G170" s="4151"/>
      <c r="H170" s="4151"/>
      <c r="I170" s="4151"/>
      <c r="J170" s="4151"/>
      <c r="K170" s="4151"/>
      <c r="L170" s="4151"/>
      <c r="M170" s="4152"/>
      <c r="S170" s="730"/>
    </row>
    <row r="171" spans="1:19" ht="13.2" customHeight="1">
      <c r="A171" s="2036"/>
      <c r="C171" s="2034">
        <v>4</v>
      </c>
      <c r="D171" s="2032"/>
      <c r="E171" s="2033"/>
      <c r="F171" s="4151"/>
      <c r="G171" s="4151"/>
      <c r="H171" s="4151"/>
      <c r="I171" s="4151"/>
      <c r="J171" s="4151"/>
      <c r="K171" s="4151"/>
      <c r="L171" s="4151"/>
      <c r="M171" s="4152"/>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49"/>
      <c r="G174" s="4150"/>
      <c r="H174" s="538"/>
      <c r="I174" s="737"/>
      <c r="J174" s="538"/>
      <c r="K174" s="538"/>
      <c r="L174" s="538"/>
      <c r="M174" s="538"/>
      <c r="S174" s="730"/>
    </row>
    <row r="175" spans="1:19" ht="13.2" customHeight="1">
      <c r="A175" s="2039"/>
      <c r="B175" s="538"/>
      <c r="C175" s="538" t="s">
        <v>551</v>
      </c>
      <c r="D175" s="2032"/>
      <c r="E175" s="2033"/>
      <c r="F175" s="4151"/>
      <c r="G175" s="4151"/>
      <c r="H175" s="4151"/>
      <c r="I175" s="4151"/>
      <c r="J175" s="4151"/>
      <c r="K175" s="4151"/>
      <c r="L175" s="4151"/>
      <c r="M175" s="4152"/>
      <c r="S175" s="730"/>
    </row>
    <row r="176" spans="1:19" ht="13.2" customHeight="1">
      <c r="A176" s="2039"/>
      <c r="B176" s="538"/>
      <c r="C176" s="538" t="s">
        <v>551</v>
      </c>
      <c r="D176" s="2032"/>
      <c r="E176" s="2033"/>
      <c r="F176" s="4151"/>
      <c r="G176" s="4151"/>
      <c r="H176" s="4151"/>
      <c r="I176" s="4151"/>
      <c r="J176" s="4151"/>
      <c r="K176" s="4151"/>
      <c r="L176" s="4151"/>
      <c r="M176" s="4152"/>
      <c r="S176" s="730"/>
    </row>
    <row r="177" spans="1:19" ht="13.2" customHeight="1">
      <c r="A177" s="2039"/>
      <c r="B177" s="538"/>
      <c r="C177" s="538" t="s">
        <v>551</v>
      </c>
      <c r="D177" s="2032"/>
      <c r="E177" s="2033"/>
      <c r="F177" s="4151"/>
      <c r="G177" s="4151"/>
      <c r="H177" s="4151"/>
      <c r="I177" s="4151"/>
      <c r="J177" s="4151"/>
      <c r="K177" s="4151"/>
      <c r="L177" s="4151"/>
      <c r="M177" s="4152"/>
      <c r="S177" s="730"/>
    </row>
    <row r="178" spans="1:19" ht="13.2" customHeight="1">
      <c r="A178" s="2035">
        <f>A174</f>
        <v>80</v>
      </c>
      <c r="B178" s="812" t="str">
        <f>IF('Part VI-Revenues &amp; Expenses'!$L$56=0,"",'Part VI-Revenues &amp; Expenses'!$L$56)</f>
        <v/>
      </c>
      <c r="C178" s="2031">
        <v>1</v>
      </c>
      <c r="D178" s="538"/>
      <c r="E178" s="538"/>
      <c r="F178" s="4149"/>
      <c r="G178" s="4150"/>
      <c r="H178" s="2031"/>
      <c r="I178" s="2031"/>
      <c r="J178" s="2031"/>
      <c r="K178" s="2031"/>
      <c r="L178" s="2031"/>
      <c r="M178" s="2031"/>
      <c r="S178" s="730"/>
    </row>
    <row r="179" spans="1:19" ht="13.2" customHeight="1">
      <c r="A179" s="2035"/>
      <c r="B179" s="538"/>
      <c r="C179" s="2034">
        <v>1</v>
      </c>
      <c r="D179" s="2032"/>
      <c r="E179" s="2033"/>
      <c r="F179" s="4151"/>
      <c r="G179" s="4151"/>
      <c r="H179" s="4151"/>
      <c r="I179" s="4151"/>
      <c r="J179" s="4151"/>
      <c r="K179" s="4151"/>
      <c r="L179" s="4151"/>
      <c r="M179" s="4152"/>
      <c r="S179" s="730"/>
    </row>
    <row r="180" spans="1:19" ht="13.2" customHeight="1">
      <c r="A180" s="2035"/>
      <c r="B180" s="538"/>
      <c r="C180" s="2034">
        <v>1</v>
      </c>
      <c r="D180" s="2032"/>
      <c r="E180" s="2033"/>
      <c r="F180" s="4151"/>
      <c r="G180" s="4151"/>
      <c r="H180" s="4151"/>
      <c r="I180" s="4151"/>
      <c r="J180" s="4151"/>
      <c r="K180" s="4151"/>
      <c r="L180" s="4151"/>
      <c r="M180" s="4152"/>
      <c r="S180" s="730"/>
    </row>
    <row r="181" spans="1:19" ht="13.2" customHeight="1">
      <c r="A181" s="2035"/>
      <c r="B181" s="538"/>
      <c r="C181" s="2034">
        <v>1</v>
      </c>
      <c r="D181" s="2032"/>
      <c r="E181" s="2033"/>
      <c r="F181" s="4151"/>
      <c r="G181" s="4151"/>
      <c r="H181" s="4151"/>
      <c r="I181" s="4151"/>
      <c r="J181" s="4151"/>
      <c r="K181" s="4151"/>
      <c r="L181" s="4151"/>
      <c r="M181" s="4152"/>
      <c r="S181" s="730"/>
    </row>
    <row r="182" spans="1:19" ht="13.2" customHeight="1">
      <c r="A182" s="2035">
        <f>A174</f>
        <v>80</v>
      </c>
      <c r="B182" s="812" t="str">
        <f>IF('Part VI-Revenues &amp; Expenses'!$M$56=0,"",'Part VI-Revenues &amp; Expenses'!$M$56)</f>
        <v/>
      </c>
      <c r="C182" s="2031">
        <v>2</v>
      </c>
      <c r="D182" s="538"/>
      <c r="E182" s="538"/>
      <c r="F182" s="4149"/>
      <c r="G182" s="4150"/>
      <c r="H182" s="2031"/>
      <c r="I182" s="2031"/>
      <c r="J182" s="2031"/>
      <c r="K182" s="2031"/>
      <c r="L182" s="2031"/>
      <c r="M182" s="2031"/>
      <c r="S182" s="730"/>
    </row>
    <row r="183" spans="1:19" ht="13.2" customHeight="1">
      <c r="A183" s="2035"/>
      <c r="B183" s="538"/>
      <c r="C183" s="2034">
        <v>2</v>
      </c>
      <c r="D183" s="2032"/>
      <c r="E183" s="2033"/>
      <c r="F183" s="4151"/>
      <c r="G183" s="4151"/>
      <c r="H183" s="4151"/>
      <c r="I183" s="4151"/>
      <c r="J183" s="4151"/>
      <c r="K183" s="4151"/>
      <c r="L183" s="4151"/>
      <c r="M183" s="4152"/>
      <c r="S183" s="730"/>
    </row>
    <row r="184" spans="1:19" ht="13.2" customHeight="1">
      <c r="A184" s="2035"/>
      <c r="B184" s="538"/>
      <c r="C184" s="2034">
        <v>2</v>
      </c>
      <c r="D184" s="2032"/>
      <c r="E184" s="2033"/>
      <c r="F184" s="4151"/>
      <c r="G184" s="4151"/>
      <c r="H184" s="4151"/>
      <c r="I184" s="4151"/>
      <c r="J184" s="4151"/>
      <c r="K184" s="4151"/>
      <c r="L184" s="4151"/>
      <c r="M184" s="4152"/>
      <c r="S184" s="730"/>
    </row>
    <row r="185" spans="1:19" ht="13.2" customHeight="1">
      <c r="A185" s="2035"/>
      <c r="B185" s="538"/>
      <c r="C185" s="2034">
        <v>2</v>
      </c>
      <c r="D185" s="2032"/>
      <c r="E185" s="2033"/>
      <c r="F185" s="4151"/>
      <c r="G185" s="4151"/>
      <c r="H185" s="4151"/>
      <c r="I185" s="4151"/>
      <c r="J185" s="4151"/>
      <c r="K185" s="4151"/>
      <c r="L185" s="4151"/>
      <c r="M185" s="4152"/>
      <c r="S185" s="730"/>
    </row>
    <row r="186" spans="1:19" ht="13.2" customHeight="1">
      <c r="A186" s="2035"/>
      <c r="B186" s="538"/>
      <c r="C186" s="2034">
        <v>2</v>
      </c>
      <c r="D186" s="2032"/>
      <c r="E186" s="2033"/>
      <c r="F186" s="4151"/>
      <c r="G186" s="4151"/>
      <c r="H186" s="4151"/>
      <c r="I186" s="4151"/>
      <c r="J186" s="4151"/>
      <c r="K186" s="4151"/>
      <c r="L186" s="4151"/>
      <c r="M186" s="4152"/>
      <c r="S186" s="730"/>
    </row>
    <row r="187" spans="1:19" ht="13.2" customHeight="1">
      <c r="A187" s="2035">
        <f>A174</f>
        <v>80</v>
      </c>
      <c r="B187" s="812" t="str">
        <f>IF('Part VI-Revenues &amp; Expenses'!$N$56=0,"",'Part VI-Revenues &amp; Expenses'!$N$56)</f>
        <v/>
      </c>
      <c r="C187" s="2031">
        <v>3</v>
      </c>
      <c r="D187" s="538"/>
      <c r="E187" s="538"/>
      <c r="F187" s="4149"/>
      <c r="G187" s="4150"/>
      <c r="H187" s="2031"/>
      <c r="I187" s="2031"/>
      <c r="J187" s="2031"/>
      <c r="K187" s="2031"/>
      <c r="L187" s="2031"/>
      <c r="M187" s="2031"/>
      <c r="S187" s="730"/>
    </row>
    <row r="188" spans="1:19" ht="13.2" customHeight="1">
      <c r="A188" s="2035"/>
      <c r="B188" s="538"/>
      <c r="C188" s="2034">
        <v>3</v>
      </c>
      <c r="D188" s="2032"/>
      <c r="E188" s="2033"/>
      <c r="F188" s="4151"/>
      <c r="G188" s="4151"/>
      <c r="H188" s="4151"/>
      <c r="I188" s="4151"/>
      <c r="J188" s="4151"/>
      <c r="K188" s="4151"/>
      <c r="L188" s="4151"/>
      <c r="M188" s="4152"/>
      <c r="S188" s="730"/>
    </row>
    <row r="189" spans="1:19" ht="13.2" customHeight="1">
      <c r="A189" s="2035"/>
      <c r="B189" s="538"/>
      <c r="C189" s="2034">
        <v>3</v>
      </c>
      <c r="D189" s="2032"/>
      <c r="E189" s="2033"/>
      <c r="F189" s="4151"/>
      <c r="G189" s="4151"/>
      <c r="H189" s="4151"/>
      <c r="I189" s="4151"/>
      <c r="J189" s="4151"/>
      <c r="K189" s="4151"/>
      <c r="L189" s="4151"/>
      <c r="M189" s="4152"/>
      <c r="S189" s="730"/>
    </row>
    <row r="190" spans="1:19" ht="13.2" customHeight="1">
      <c r="A190" s="2035"/>
      <c r="B190" s="538"/>
      <c r="C190" s="2034">
        <v>3</v>
      </c>
      <c r="D190" s="2032"/>
      <c r="E190" s="2033"/>
      <c r="F190" s="4151"/>
      <c r="G190" s="4151"/>
      <c r="H190" s="4151"/>
      <c r="I190" s="4151"/>
      <c r="J190" s="4151"/>
      <c r="K190" s="4151"/>
      <c r="L190" s="4151"/>
      <c r="M190" s="4152"/>
      <c r="S190" s="730"/>
    </row>
    <row r="191" spans="1:19" ht="13.2" customHeight="1">
      <c r="A191" s="2035"/>
      <c r="B191" s="538"/>
      <c r="C191" s="2034">
        <v>3</v>
      </c>
      <c r="D191" s="2032"/>
      <c r="E191" s="2033"/>
      <c r="F191" s="4151"/>
      <c r="G191" s="4151"/>
      <c r="H191" s="4151"/>
      <c r="I191" s="4151"/>
      <c r="J191" s="4151"/>
      <c r="K191" s="4151"/>
      <c r="L191" s="4151"/>
      <c r="M191" s="4152"/>
      <c r="S191" s="730"/>
    </row>
    <row r="192" spans="1:19" ht="13.2" customHeight="1">
      <c r="A192" s="2035">
        <f>A174</f>
        <v>80</v>
      </c>
      <c r="B192" s="812" t="str">
        <f>IF('Part VI-Revenues &amp; Expenses'!$O$56=0,"",'Part VI-Revenues &amp; Expenses'!$O$56)</f>
        <v/>
      </c>
      <c r="C192" s="2031">
        <v>4</v>
      </c>
      <c r="D192" s="538"/>
      <c r="E192" s="538"/>
      <c r="F192" s="4149"/>
      <c r="G192" s="4150"/>
      <c r="H192" s="2031"/>
      <c r="I192" s="2031"/>
      <c r="J192" s="2031"/>
      <c r="K192" s="2031"/>
      <c r="L192" s="2031"/>
      <c r="M192" s="2031"/>
      <c r="S192" s="730"/>
    </row>
    <row r="193" spans="1:19" ht="13.2" customHeight="1">
      <c r="A193" s="2039"/>
      <c r="B193" s="538"/>
      <c r="C193" s="2034">
        <v>4</v>
      </c>
      <c r="D193" s="2032"/>
      <c r="E193" s="2033"/>
      <c r="F193" s="4151"/>
      <c r="G193" s="4151"/>
      <c r="H193" s="4151"/>
      <c r="I193" s="4151"/>
      <c r="J193" s="4151"/>
      <c r="K193" s="4151"/>
      <c r="L193" s="4151"/>
      <c r="M193" s="4152"/>
      <c r="S193" s="730"/>
    </row>
    <row r="194" spans="1:19" ht="13.2" customHeight="1">
      <c r="A194" s="2036"/>
      <c r="C194" s="2034">
        <v>4</v>
      </c>
      <c r="D194" s="2032"/>
      <c r="E194" s="2033"/>
      <c r="F194" s="4151"/>
      <c r="G194" s="4151"/>
      <c r="H194" s="4151"/>
      <c r="I194" s="4151"/>
      <c r="J194" s="4151"/>
      <c r="K194" s="4151"/>
      <c r="L194" s="4151"/>
      <c r="M194" s="4152"/>
      <c r="S194" s="730"/>
    </row>
    <row r="195" spans="1:19" ht="13.2" customHeight="1">
      <c r="A195" s="2036"/>
      <c r="C195" s="2034">
        <v>4</v>
      </c>
      <c r="D195" s="2032"/>
      <c r="E195" s="2033"/>
      <c r="F195" s="4151"/>
      <c r="G195" s="4151"/>
      <c r="H195" s="4151"/>
      <c r="I195" s="4151"/>
      <c r="J195" s="4151"/>
      <c r="K195" s="4151"/>
      <c r="L195" s="4151"/>
      <c r="M195" s="4152"/>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90" t="s">
        <v>3916</v>
      </c>
      <c r="C1" s="4190"/>
      <c r="D1" s="4190"/>
      <c r="E1" s="4190"/>
      <c r="F1" s="4190"/>
      <c r="G1" s="4190"/>
      <c r="H1" s="4190"/>
      <c r="I1" s="4190"/>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4191" t="s">
        <v>3141</v>
      </c>
      <c r="C4" s="4191"/>
      <c r="D4" s="4191"/>
      <c r="E4" s="4196" t="s">
        <v>3142</v>
      </c>
      <c r="F4" s="4198"/>
      <c r="G4" s="4196" t="s">
        <v>599</v>
      </c>
      <c r="H4" s="4197"/>
      <c r="I4" s="4198"/>
      <c r="J4" s="1254" t="s">
        <v>2987</v>
      </c>
      <c r="K4" s="1254"/>
      <c r="L4" s="1262"/>
      <c r="M4" s="1262"/>
    </row>
    <row r="5" spans="2:13">
      <c r="B5" s="4192" t="str">
        <f>'Closing term sheet'!C8</f>
        <v>The Pointe at St. Martin</v>
      </c>
      <c r="C5" s="4193"/>
      <c r="D5" s="4193"/>
      <c r="E5" s="4202"/>
      <c r="F5" s="4203"/>
      <c r="G5" s="4199" t="str">
        <f>'Closing term sheet'!C28</f>
        <v>The Pointe at St. Martin</v>
      </c>
      <c r="H5" s="4200"/>
      <c r="I5" s="4201"/>
      <c r="K5" s="730"/>
    </row>
    <row r="6" spans="2:13" ht="4.5" customHeight="1">
      <c r="D6" s="1263"/>
      <c r="E6" s="1263"/>
      <c r="F6" s="1263"/>
      <c r="G6" s="1263"/>
      <c r="H6" s="1263"/>
      <c r="I6" s="1263"/>
      <c r="K6" s="730"/>
    </row>
    <row r="7" spans="2:13">
      <c r="B7" s="4185" t="s">
        <v>3143</v>
      </c>
      <c r="C7" s="4185"/>
      <c r="D7" s="1264"/>
      <c r="E7" s="1264"/>
      <c r="F7" s="1264"/>
      <c r="G7" s="1264"/>
      <c r="H7" s="4194" t="str">
        <f>'Preview term'!E9</f>
        <v>To Be Applied For</v>
      </c>
      <c r="I7" s="4195"/>
    </row>
    <row r="8" spans="2:13" ht="4.5" customHeight="1">
      <c r="B8" s="1264"/>
      <c r="C8" s="1264"/>
      <c r="D8" s="1264"/>
      <c r="E8" s="1264"/>
      <c r="F8" s="1264"/>
      <c r="G8" s="1264"/>
      <c r="H8" s="1264"/>
      <c r="I8" s="1264"/>
      <c r="J8" s="1264"/>
    </row>
    <row r="9" spans="2:13">
      <c r="B9" s="1265" t="s">
        <v>3144</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3907</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4204" t="s">
        <v>3924</v>
      </c>
      <c r="I35" s="4205"/>
    </row>
    <row r="36" spans="2:9">
      <c r="B36" s="1291" t="s">
        <v>3923</v>
      </c>
      <c r="C36" s="1289"/>
      <c r="D36" s="1289"/>
      <c r="E36" s="1264"/>
      <c r="F36" s="1533"/>
      <c r="G36" s="1292"/>
      <c r="H36" s="4204"/>
      <c r="I36" s="4205"/>
    </row>
    <row r="37" spans="2:9">
      <c r="B37" s="1291" t="s">
        <v>3921</v>
      </c>
      <c r="D37" s="1289"/>
      <c r="E37" s="1264"/>
      <c r="F37" s="1534"/>
      <c r="G37" s="1292"/>
      <c r="H37" s="4204"/>
      <c r="I37" s="4205"/>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3156</v>
      </c>
      <c r="C48" s="1289"/>
      <c r="D48" s="1289" t="s">
        <v>3157</v>
      </c>
      <c r="E48" s="1264"/>
      <c r="F48" s="4213" t="str">
        <f>'Closing term sheet'!$C$30</f>
        <v>310 Ridge Road</v>
      </c>
      <c r="G48" s="4214"/>
      <c r="H48" s="4214"/>
      <c r="I48" s="4215"/>
    </row>
    <row r="49" spans="2:9">
      <c r="B49" s="1280" t="s">
        <v>3158</v>
      </c>
      <c r="D49" s="1289" t="s">
        <v>3159</v>
      </c>
      <c r="E49" s="1264"/>
      <c r="F49" s="4216"/>
      <c r="G49" s="4217"/>
      <c r="H49" s="4217"/>
      <c r="I49" s="4218"/>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3926</v>
      </c>
      <c r="C52" s="4181" t="str">
        <f>'Part I-Project Information'!F38</f>
        <v>Hartwell</v>
      </c>
      <c r="D52" s="4182"/>
      <c r="E52" s="1306" t="s">
        <v>3927</v>
      </c>
      <c r="F52" s="1266" t="s">
        <v>828</v>
      </c>
      <c r="G52" s="1306" t="s">
        <v>3928</v>
      </c>
      <c r="H52" s="1307">
        <f>'Part I-Project Information'!J38</f>
        <v>306430000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60</v>
      </c>
      <c r="E55" s="1310"/>
      <c r="F55" s="787" t="s">
        <v>3161</v>
      </c>
      <c r="G55" s="1264"/>
      <c r="H55" s="1264"/>
      <c r="I55" s="1274"/>
    </row>
    <row r="56" spans="2:9">
      <c r="B56" s="1298" t="s">
        <v>4094</v>
      </c>
      <c r="D56" s="1311">
        <f>'Closing term sheet'!$D$62</f>
        <v>7794967</v>
      </c>
      <c r="E56" s="1312"/>
      <c r="F56" s="787" t="s">
        <v>3162</v>
      </c>
      <c r="G56" s="1264"/>
      <c r="H56" s="1264"/>
      <c r="I56" s="1274"/>
    </row>
    <row r="57" spans="2:9">
      <c r="B57" s="1291" t="s">
        <v>4093</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187" t="s">
        <v>3164</v>
      </c>
      <c r="C61" s="4188"/>
      <c r="D61" s="4188"/>
      <c r="E61" s="4188"/>
      <c r="F61" s="4188"/>
      <c r="G61" s="4188"/>
      <c r="H61" s="4188"/>
      <c r="I61" s="4189"/>
    </row>
    <row r="62" spans="2:9" ht="7.5" customHeight="1">
      <c r="B62" s="4183"/>
      <c r="C62" s="4184"/>
      <c r="D62" s="4184"/>
      <c r="E62" s="1264"/>
      <c r="F62" s="1264"/>
      <c r="G62" s="1314"/>
      <c r="H62" s="1264"/>
      <c r="I62" s="1274"/>
    </row>
    <row r="63" spans="2:9">
      <c r="B63" s="1315" t="s">
        <v>3166</v>
      </c>
      <c r="C63" s="1264"/>
      <c r="D63" s="1309">
        <v>4</v>
      </c>
      <c r="F63" s="1264"/>
      <c r="G63" s="4185" t="s">
        <v>3165</v>
      </c>
      <c r="H63" s="4185"/>
      <c r="I63" s="4186"/>
    </row>
    <row r="64" spans="2:9">
      <c r="B64" s="1272"/>
      <c r="C64" s="1289" t="s">
        <v>3169</v>
      </c>
      <c r="D64" s="1289" t="s">
        <v>3170</v>
      </c>
      <c r="F64" s="1264"/>
      <c r="G64" s="799" t="s">
        <v>3167</v>
      </c>
      <c r="H64" s="1264"/>
      <c r="I64" s="1316">
        <f>'Closing term sheet'!$D$35</f>
        <v>60</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187" t="s">
        <v>3177</v>
      </c>
      <c r="C81" s="4188"/>
      <c r="D81" s="4188"/>
      <c r="E81" s="4188"/>
      <c r="F81" s="4188"/>
      <c r="G81" s="4188"/>
      <c r="H81" s="4188"/>
      <c r="I81" s="4189"/>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4209">
        <f>'Closing term sheet'!D62</f>
        <v>7794967</v>
      </c>
      <c r="G84" s="4209"/>
      <c r="H84" s="1264"/>
      <c r="I84" s="1274"/>
    </row>
    <row r="85" spans="2:9">
      <c r="B85" s="1272"/>
      <c r="C85" s="807" t="s">
        <v>3180</v>
      </c>
      <c r="D85" s="1264"/>
      <c r="E85" s="1264"/>
      <c r="F85" s="4180" t="e">
        <f>'Part III-Sources of Funds'!I45+'Part III-Sources of Funds'!L45</f>
        <v>#VALUE!</v>
      </c>
      <c r="G85" s="4180"/>
      <c r="H85" s="1264"/>
      <c r="I85" s="1274"/>
    </row>
    <row r="86" spans="2:9">
      <c r="B86" s="1272"/>
      <c r="C86" s="807" t="s">
        <v>3181</v>
      </c>
      <c r="D86" s="1264"/>
      <c r="E86" s="1264"/>
      <c r="F86" s="4179"/>
      <c r="G86" s="4179"/>
      <c r="H86" s="1264"/>
      <c r="I86" s="1274"/>
    </row>
    <row r="87" spans="2:9">
      <c r="B87" s="1272"/>
      <c r="C87" s="1289" t="s">
        <v>3182</v>
      </c>
      <c r="D87" s="1264"/>
      <c r="E87" s="1264"/>
      <c r="F87" s="4180">
        <v>11000</v>
      </c>
      <c r="G87" s="4180"/>
      <c r="H87" s="1264"/>
      <c r="I87" s="1274"/>
    </row>
    <row r="88" spans="2:9">
      <c r="B88" s="1272"/>
      <c r="C88" s="807" t="s">
        <v>3183</v>
      </c>
      <c r="D88" s="1264"/>
      <c r="E88" s="1264"/>
      <c r="F88" s="4212"/>
      <c r="G88" s="4212"/>
      <c r="H88" s="1264"/>
      <c r="I88" s="1274"/>
    </row>
    <row r="89" spans="2:9">
      <c r="B89" s="1272"/>
      <c r="C89" s="787" t="s">
        <v>3184</v>
      </c>
      <c r="D89" s="1264"/>
      <c r="E89" s="1264"/>
      <c r="F89" s="4207" t="e">
        <f>SUM(F84:G88)</f>
        <v>#VALUE!</v>
      </c>
      <c r="G89" s="4207"/>
      <c r="H89" s="1264"/>
      <c r="I89" s="1274"/>
    </row>
    <row r="90" spans="2:9">
      <c r="B90" s="1272"/>
      <c r="C90" s="1264"/>
      <c r="D90" s="1264"/>
      <c r="E90" s="1264"/>
      <c r="F90" s="4208"/>
      <c r="G90" s="4208"/>
      <c r="H90" s="1264"/>
      <c r="I90" s="1274"/>
    </row>
    <row r="91" spans="2:9">
      <c r="B91" s="1275" t="s">
        <v>3185</v>
      </c>
      <c r="C91" s="1264"/>
      <c r="D91" s="1264"/>
      <c r="E91" s="1264"/>
      <c r="F91" s="1264"/>
      <c r="G91" s="1264"/>
      <c r="H91" s="1264"/>
      <c r="I91" s="1274"/>
    </row>
    <row r="92" spans="2:9">
      <c r="B92" s="1272"/>
      <c r="C92" s="807" t="s">
        <v>3186</v>
      </c>
      <c r="D92" s="1264"/>
      <c r="E92" s="1264"/>
      <c r="F92" s="4209"/>
      <c r="G92" s="4209"/>
      <c r="H92" s="1264"/>
      <c r="I92" s="1274"/>
    </row>
    <row r="93" spans="2:9">
      <c r="B93" s="1272"/>
      <c r="C93" s="807" t="s">
        <v>3187</v>
      </c>
      <c r="D93" s="1264"/>
      <c r="E93" s="1264"/>
      <c r="F93" s="4210"/>
      <c r="G93" s="4210"/>
      <c r="H93" s="1264"/>
      <c r="I93" s="1274"/>
    </row>
    <row r="94" spans="2:9">
      <c r="B94" s="1272"/>
      <c r="C94" s="807" t="s">
        <v>3188</v>
      </c>
      <c r="D94" s="1264"/>
      <c r="E94" s="1264"/>
      <c r="F94" s="4211" t="s">
        <v>3063</v>
      </c>
      <c r="G94" s="4206"/>
      <c r="H94" s="1264"/>
      <c r="I94" s="1274"/>
    </row>
    <row r="95" spans="2:9">
      <c r="B95" s="1272"/>
      <c r="C95" s="787" t="s">
        <v>3189</v>
      </c>
      <c r="D95" s="1264"/>
      <c r="E95" s="1264"/>
      <c r="F95" s="4207">
        <f>+SUM(F92:G94)</f>
        <v>0</v>
      </c>
      <c r="G95" s="4207"/>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4209"/>
      <c r="G98" s="4209"/>
      <c r="H98" s="1264"/>
      <c r="I98" s="1274"/>
    </row>
    <row r="99" spans="2:9">
      <c r="B99" s="1272"/>
      <c r="C99" s="807" t="s">
        <v>3192</v>
      </c>
      <c r="D99" s="1264"/>
      <c r="E99" s="1264"/>
      <c r="F99" s="4210"/>
      <c r="G99" s="4210"/>
      <c r="H99" s="1264"/>
      <c r="I99" s="1274"/>
    </row>
    <row r="100" spans="2:9">
      <c r="B100" s="1272"/>
      <c r="C100" s="807" t="s">
        <v>3193</v>
      </c>
      <c r="D100" s="1264"/>
      <c r="E100" s="1264"/>
      <c r="F100" s="4212"/>
      <c r="G100" s="4212"/>
      <c r="H100" s="1264"/>
      <c r="I100" s="1274"/>
    </row>
    <row r="101" spans="2:9">
      <c r="B101" s="1272"/>
      <c r="C101" s="787" t="s">
        <v>3194</v>
      </c>
      <c r="D101" s="1264"/>
      <c r="E101" s="1264"/>
      <c r="F101" s="4207">
        <f>+SUM(F98:G100)</f>
        <v>0</v>
      </c>
      <c r="G101" s="4207"/>
      <c r="H101" s="1264"/>
      <c r="I101" s="1274"/>
    </row>
    <row r="102" spans="2:9">
      <c r="B102" s="1272"/>
      <c r="C102" s="1264"/>
      <c r="D102" s="1264"/>
      <c r="E102" s="1264"/>
      <c r="F102" s="1264"/>
      <c r="G102" s="1264"/>
      <c r="H102" s="1264"/>
      <c r="I102" s="1274"/>
    </row>
    <row r="103" spans="2:9">
      <c r="B103" s="1315" t="s">
        <v>3195</v>
      </c>
      <c r="C103" s="807"/>
      <c r="D103" s="1264"/>
      <c r="E103" s="1264"/>
      <c r="F103" s="4206">
        <f>'Part III-Sources of Funds'!I46+'Part III-Sources of Funds'!I47</f>
        <v>0</v>
      </c>
      <c r="G103" s="4206"/>
      <c r="H103" s="1264"/>
      <c r="I103" s="1274"/>
    </row>
    <row r="104" spans="2:9">
      <c r="B104" s="1272"/>
      <c r="C104" s="1264"/>
      <c r="D104" s="1264"/>
      <c r="E104" s="1264"/>
      <c r="F104" s="1264"/>
      <c r="G104" s="1264"/>
      <c r="H104" s="1264"/>
      <c r="I104" s="1320" t="s">
        <v>3196</v>
      </c>
    </row>
    <row r="105" spans="2:9">
      <c r="B105" s="1275" t="s">
        <v>3197</v>
      </c>
      <c r="C105" s="1264"/>
      <c r="D105" s="1264"/>
      <c r="E105" s="1264"/>
      <c r="F105" s="4206" t="e">
        <f>+F103+F101+F95+F89</f>
        <v>#VALUE!</v>
      </c>
      <c r="G105" s="4206"/>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68" customWidth="1"/>
    <col min="2" max="13" width="7.88671875" style="2668" customWidth="1"/>
    <col min="14" max="15" width="5.88671875" style="2668" customWidth="1"/>
    <col min="16" max="16384" width="8.88671875" style="2668"/>
  </cols>
  <sheetData>
    <row r="1" spans="1:26" ht="18">
      <c r="N1" s="2669" t="s">
        <v>1467</v>
      </c>
      <c r="O1" s="2669"/>
      <c r="P1" s="2669"/>
      <c r="Q1" s="2669"/>
      <c r="R1" s="2669"/>
      <c r="S1" s="2669"/>
      <c r="T1" s="2669"/>
      <c r="U1" s="2669"/>
      <c r="V1" s="2669"/>
      <c r="W1" s="2669"/>
      <c r="X1" s="2669"/>
      <c r="Y1" s="2669"/>
      <c r="Z1" s="2669"/>
    </row>
    <row r="2" spans="1:26">
      <c r="N2" s="2670" t="s">
        <v>1468</v>
      </c>
      <c r="O2" s="2670"/>
      <c r="P2" s="2670"/>
      <c r="Q2" s="2670"/>
      <c r="R2" s="2670"/>
      <c r="S2" s="2670"/>
      <c r="T2" s="2670"/>
      <c r="U2" s="2670"/>
      <c r="V2" s="2670"/>
      <c r="W2" s="2670"/>
      <c r="X2" s="2670"/>
      <c r="Y2" s="2670"/>
      <c r="Z2" s="2670"/>
    </row>
    <row r="3" spans="1:26">
      <c r="N3" s="2671" t="s">
        <v>1469</v>
      </c>
      <c r="O3" s="2671"/>
      <c r="P3" s="2671"/>
      <c r="Q3" s="2671"/>
      <c r="R3" s="2671"/>
      <c r="S3" s="2671"/>
      <c r="T3" s="2671"/>
      <c r="U3" s="2671"/>
      <c r="V3" s="2671"/>
      <c r="W3" s="2671"/>
      <c r="X3" s="2671"/>
      <c r="Y3" s="2671"/>
      <c r="Z3" s="2671"/>
    </row>
    <row r="4" spans="1:26">
      <c r="B4" s="2672"/>
      <c r="C4" s="2672"/>
      <c r="D4" s="2672"/>
      <c r="E4" s="2672"/>
      <c r="F4" s="2672"/>
      <c r="G4" s="2672"/>
      <c r="H4" s="2672"/>
      <c r="I4" s="2672"/>
      <c r="J4" s="2672"/>
      <c r="K4" s="2672"/>
      <c r="L4" s="2672"/>
      <c r="M4" s="2672"/>
      <c r="N4" s="2673" t="s">
        <v>684</v>
      </c>
    </row>
    <row r="5" spans="1:26" ht="59.25" customHeight="1">
      <c r="A5" s="4220" t="s">
        <v>2662</v>
      </c>
      <c r="B5" s="4220"/>
      <c r="C5" s="4220"/>
      <c r="D5" s="4220"/>
      <c r="E5" s="4220"/>
      <c r="F5" s="4220"/>
      <c r="G5" s="4220"/>
      <c r="H5" s="4220"/>
      <c r="I5" s="4220"/>
      <c r="J5" s="4220"/>
      <c r="K5" s="4220"/>
      <c r="L5" s="4220"/>
      <c r="M5" s="4220"/>
    </row>
    <row r="6" spans="1:26" ht="11.4" customHeight="1">
      <c r="A6" s="2672"/>
      <c r="B6" s="2672"/>
      <c r="C6" s="2672"/>
      <c r="D6" s="2672"/>
      <c r="E6" s="2672"/>
      <c r="F6" s="2672"/>
      <c r="G6" s="2672"/>
      <c r="H6" s="2672"/>
      <c r="I6" s="2672"/>
      <c r="J6" s="2672"/>
      <c r="K6" s="2672"/>
      <c r="L6" s="2672"/>
      <c r="M6" s="2672"/>
    </row>
    <row r="7" spans="1:26">
      <c r="A7" s="2672" t="s">
        <v>689</v>
      </c>
      <c r="B7" s="2672"/>
      <c r="C7" s="2672"/>
      <c r="D7" s="2672"/>
      <c r="E7" s="2672"/>
      <c r="F7" s="2672"/>
      <c r="G7" s="2672"/>
      <c r="H7" s="2672"/>
      <c r="I7" s="2672"/>
      <c r="J7" s="2672"/>
      <c r="K7" s="2672"/>
      <c r="L7" s="2672"/>
      <c r="M7" s="2672"/>
    </row>
    <row r="8" spans="1:26" ht="11.4" customHeight="1">
      <c r="A8" s="2672"/>
      <c r="B8" s="2672"/>
      <c r="C8" s="2672"/>
      <c r="D8" s="2672"/>
      <c r="E8" s="2672"/>
      <c r="F8" s="2672"/>
      <c r="G8" s="2672"/>
      <c r="H8" s="2672"/>
      <c r="I8" s="2672"/>
      <c r="J8" s="2672"/>
      <c r="K8" s="2672"/>
      <c r="L8" s="2672"/>
      <c r="M8" s="2672"/>
    </row>
    <row r="9" spans="1:26">
      <c r="A9" s="4221" t="s">
        <v>1859</v>
      </c>
      <c r="B9" s="4221"/>
      <c r="C9" s="4221"/>
      <c r="D9" s="4221"/>
      <c r="E9" s="4221"/>
      <c r="F9" s="4221"/>
      <c r="G9" s="4221"/>
      <c r="H9" s="4221"/>
      <c r="I9" s="4221"/>
      <c r="J9" s="4221"/>
      <c r="K9" s="4221"/>
      <c r="L9" s="4221"/>
      <c r="M9" s="4221"/>
    </row>
    <row r="10" spans="1:26" ht="6.75" customHeight="1">
      <c r="A10" s="4221"/>
      <c r="B10" s="4221"/>
      <c r="C10" s="4221"/>
      <c r="D10" s="4221"/>
      <c r="E10" s="4221"/>
      <c r="F10" s="4221"/>
      <c r="G10" s="4221"/>
      <c r="H10" s="4221"/>
      <c r="I10" s="4221"/>
      <c r="J10" s="4221"/>
      <c r="K10" s="4221"/>
      <c r="L10" s="4221"/>
      <c r="M10" s="4221"/>
    </row>
    <row r="11" spans="1:26" ht="44.25" customHeight="1">
      <c r="A11" s="4222" t="s">
        <v>4490</v>
      </c>
      <c r="B11" s="4222"/>
      <c r="C11" s="4222"/>
      <c r="D11" s="4222"/>
      <c r="E11" s="4222"/>
      <c r="F11" s="4222"/>
      <c r="G11" s="4222"/>
      <c r="H11" s="4222"/>
      <c r="I11" s="4222"/>
      <c r="J11" s="4222"/>
      <c r="K11" s="4222"/>
      <c r="L11" s="4222"/>
      <c r="M11" s="4222"/>
    </row>
    <row r="12" spans="1:26" ht="3" customHeight="1">
      <c r="A12" s="4221"/>
      <c r="B12" s="4221"/>
      <c r="C12" s="4221"/>
      <c r="D12" s="4221"/>
      <c r="E12" s="4221"/>
      <c r="F12" s="4221"/>
      <c r="G12" s="4221"/>
      <c r="H12" s="4221"/>
      <c r="I12" s="4221"/>
      <c r="J12" s="4221"/>
      <c r="K12" s="4221"/>
      <c r="L12" s="4221"/>
      <c r="M12" s="4221"/>
    </row>
    <row r="13" spans="1:26" ht="96" customHeight="1">
      <c r="A13" s="2674" t="s">
        <v>1694</v>
      </c>
      <c r="B13" s="4223" t="s">
        <v>3501</v>
      </c>
      <c r="C13" s="4223"/>
      <c r="D13" s="4223"/>
      <c r="E13" s="4223"/>
      <c r="F13" s="4223"/>
      <c r="G13" s="4223"/>
      <c r="H13" s="4223"/>
      <c r="I13" s="4223"/>
      <c r="J13" s="4223"/>
      <c r="K13" s="4223"/>
      <c r="L13" s="4223"/>
      <c r="M13" s="4223"/>
    </row>
    <row r="14" spans="1:26" ht="47.25" customHeight="1">
      <c r="A14" s="2674" t="s">
        <v>1695</v>
      </c>
      <c r="B14" s="4223" t="s">
        <v>3502</v>
      </c>
      <c r="C14" s="4223"/>
      <c r="D14" s="4223"/>
      <c r="E14" s="4223"/>
      <c r="F14" s="4223"/>
      <c r="G14" s="4223"/>
      <c r="H14" s="4223"/>
      <c r="I14" s="4223"/>
      <c r="J14" s="4223"/>
      <c r="K14" s="4223"/>
      <c r="L14" s="4223"/>
      <c r="M14" s="4223"/>
    </row>
    <row r="15" spans="1:26" ht="117" customHeight="1">
      <c r="A15" s="2674" t="s">
        <v>1696</v>
      </c>
      <c r="B15" s="4223" t="s">
        <v>3503</v>
      </c>
      <c r="C15" s="4223"/>
      <c r="D15" s="4223"/>
      <c r="E15" s="4223"/>
      <c r="F15" s="4223"/>
      <c r="G15" s="4223"/>
      <c r="H15" s="4223"/>
      <c r="I15" s="4223"/>
      <c r="J15" s="4223"/>
      <c r="K15" s="4223"/>
      <c r="L15" s="4223"/>
      <c r="M15" s="4223"/>
    </row>
    <row r="16" spans="1:26" ht="147" customHeight="1">
      <c r="A16" s="2674" t="s">
        <v>2305</v>
      </c>
      <c r="B16" s="4223" t="s">
        <v>3342</v>
      </c>
      <c r="C16" s="4223"/>
      <c r="D16" s="4223"/>
      <c r="E16" s="4223"/>
      <c r="F16" s="4223"/>
      <c r="G16" s="4223"/>
      <c r="H16" s="4223"/>
      <c r="I16" s="4223"/>
      <c r="J16" s="4223"/>
      <c r="K16" s="4223"/>
      <c r="L16" s="4223"/>
      <c r="M16" s="4223"/>
    </row>
    <row r="17" spans="1:13" ht="48.75" customHeight="1">
      <c r="A17" s="2674" t="s">
        <v>1516</v>
      </c>
      <c r="B17" s="4223" t="s">
        <v>665</v>
      </c>
      <c r="C17" s="4223"/>
      <c r="D17" s="4223"/>
      <c r="E17" s="4223"/>
      <c r="F17" s="4223"/>
      <c r="G17" s="4223"/>
      <c r="H17" s="4223"/>
      <c r="I17" s="4223"/>
      <c r="J17" s="4223"/>
      <c r="K17" s="4223"/>
      <c r="L17" s="4223"/>
      <c r="M17" s="4223"/>
    </row>
    <row r="18" spans="1:13" ht="165" customHeight="1">
      <c r="A18" s="2674" t="s">
        <v>1517</v>
      </c>
      <c r="B18" s="4223" t="s">
        <v>3341</v>
      </c>
      <c r="C18" s="4223"/>
      <c r="D18" s="4223"/>
      <c r="E18" s="4223"/>
      <c r="F18" s="4223"/>
      <c r="G18" s="4223"/>
      <c r="H18" s="4223"/>
      <c r="I18" s="4223"/>
      <c r="J18" s="4223"/>
      <c r="K18" s="4223"/>
      <c r="L18" s="4223"/>
      <c r="M18" s="4223"/>
    </row>
    <row r="19" spans="1:13" ht="48.75" customHeight="1">
      <c r="A19" s="2674" t="s">
        <v>96</v>
      </c>
      <c r="B19" s="4219" t="s">
        <v>3504</v>
      </c>
      <c r="C19" s="4219"/>
      <c r="D19" s="4219"/>
      <c r="E19" s="4219"/>
      <c r="F19" s="4219"/>
      <c r="G19" s="4219"/>
      <c r="H19" s="4219"/>
      <c r="I19" s="4219"/>
      <c r="J19" s="4219"/>
      <c r="K19" s="4219"/>
      <c r="L19" s="4219"/>
      <c r="M19" s="4219"/>
    </row>
    <row r="20" spans="1:13" ht="50.25" customHeight="1">
      <c r="A20" s="2674" t="s">
        <v>500</v>
      </c>
      <c r="B20" s="4223" t="s">
        <v>3344</v>
      </c>
      <c r="C20" s="4223"/>
      <c r="D20" s="4223"/>
      <c r="E20" s="4223"/>
      <c r="F20" s="4223"/>
      <c r="G20" s="4223"/>
      <c r="H20" s="4223"/>
      <c r="I20" s="4223"/>
      <c r="J20" s="4223"/>
      <c r="K20" s="4223"/>
      <c r="L20" s="4223"/>
      <c r="M20" s="4223"/>
    </row>
    <row r="21" spans="1:13" ht="31.5" customHeight="1">
      <c r="A21" s="2674" t="s">
        <v>501</v>
      </c>
      <c r="B21" s="4223" t="s">
        <v>3363</v>
      </c>
      <c r="C21" s="4223"/>
      <c r="D21" s="4223"/>
      <c r="E21" s="4223"/>
      <c r="F21" s="4223"/>
      <c r="G21" s="4223"/>
      <c r="H21" s="4223"/>
      <c r="I21" s="4223"/>
      <c r="J21" s="4223"/>
      <c r="K21" s="4223"/>
      <c r="L21" s="4223"/>
      <c r="M21" s="4223"/>
    </row>
    <row r="22" spans="1:13" ht="1.5" customHeight="1">
      <c r="A22" s="4221"/>
      <c r="B22" s="4221"/>
      <c r="C22" s="4221"/>
      <c r="D22" s="4221"/>
      <c r="E22" s="4221"/>
      <c r="F22" s="4221"/>
      <c r="G22" s="4221"/>
      <c r="H22" s="4221"/>
      <c r="I22" s="4221"/>
      <c r="J22" s="4221"/>
      <c r="K22" s="4221"/>
      <c r="L22" s="4221"/>
      <c r="M22" s="4221"/>
    </row>
    <row r="23" spans="1:13" ht="3" customHeight="1">
      <c r="A23" s="4221"/>
      <c r="B23" s="4221"/>
      <c r="C23" s="4221"/>
      <c r="D23" s="4221"/>
      <c r="E23" s="4221"/>
      <c r="F23" s="4221"/>
      <c r="G23" s="4221"/>
      <c r="H23" s="4221"/>
      <c r="I23" s="4221"/>
      <c r="J23" s="4221"/>
      <c r="K23" s="4221"/>
      <c r="L23" s="4221"/>
      <c r="M23" s="4221"/>
    </row>
    <row r="24" spans="1:13" ht="13.5" customHeight="1">
      <c r="A24" s="4221" t="s">
        <v>1436</v>
      </c>
      <c r="B24" s="4221"/>
      <c r="C24" s="4221"/>
      <c r="D24" s="4221"/>
      <c r="E24" s="4221"/>
      <c r="F24" s="4221"/>
      <c r="G24" s="4221"/>
      <c r="H24" s="4221"/>
      <c r="I24" s="4221"/>
      <c r="J24" s="4221"/>
      <c r="K24" s="4221"/>
      <c r="L24" s="4221"/>
      <c r="M24" s="4221"/>
    </row>
    <row r="25" spans="1:13" ht="32.25" customHeight="1">
      <c r="A25" s="2674" t="s">
        <v>1437</v>
      </c>
      <c r="B25" s="4223" t="s">
        <v>3364</v>
      </c>
      <c r="C25" s="4223"/>
      <c r="D25" s="4223"/>
      <c r="E25" s="4223"/>
      <c r="F25" s="4223"/>
      <c r="G25" s="4223"/>
      <c r="H25" s="4223"/>
      <c r="I25" s="4223"/>
      <c r="J25" s="4223"/>
      <c r="K25" s="4223"/>
      <c r="L25" s="4223"/>
      <c r="M25" s="4223"/>
    </row>
    <row r="26" spans="1:13" ht="31.5" customHeight="1">
      <c r="A26" s="2674" t="s">
        <v>1437</v>
      </c>
      <c r="B26" s="4223" t="s">
        <v>3365</v>
      </c>
      <c r="C26" s="4223"/>
      <c r="D26" s="4223"/>
      <c r="E26" s="4223"/>
      <c r="F26" s="4223"/>
      <c r="G26" s="4223"/>
      <c r="H26" s="4223"/>
      <c r="I26" s="4223"/>
      <c r="J26" s="4223"/>
      <c r="K26" s="4223"/>
      <c r="L26" s="4223"/>
      <c r="M26" s="4223"/>
    </row>
    <row r="27" spans="1:13" ht="78.75" customHeight="1">
      <c r="A27" s="2674" t="s">
        <v>1437</v>
      </c>
      <c r="B27" s="4223" t="s">
        <v>2663</v>
      </c>
      <c r="C27" s="4223"/>
      <c r="D27" s="4223"/>
      <c r="E27" s="4223"/>
      <c r="F27" s="4223"/>
      <c r="G27" s="4223"/>
      <c r="H27" s="4223"/>
      <c r="I27" s="4223"/>
      <c r="J27" s="4223"/>
      <c r="K27" s="4223"/>
      <c r="L27" s="4223"/>
      <c r="M27" s="4223"/>
    </row>
    <row r="28" spans="1:13" ht="7.5" customHeight="1">
      <c r="A28" s="4221"/>
      <c r="B28" s="4221"/>
      <c r="C28" s="4221"/>
      <c r="D28" s="4221"/>
      <c r="E28" s="4221"/>
      <c r="F28" s="4221"/>
      <c r="G28" s="4221"/>
      <c r="H28" s="4221"/>
      <c r="I28" s="4221"/>
      <c r="J28" s="4221"/>
      <c r="K28" s="4221"/>
      <c r="L28" s="4221"/>
      <c r="M28" s="4221"/>
    </row>
    <row r="29" spans="1:13" ht="43.5" customHeight="1">
      <c r="A29" s="4223" t="s">
        <v>924</v>
      </c>
      <c r="B29" s="4223"/>
      <c r="C29" s="4223"/>
      <c r="D29" s="4223"/>
      <c r="E29" s="4223"/>
      <c r="F29" s="4223"/>
      <c r="G29" s="4223"/>
      <c r="H29" s="4223"/>
      <c r="I29" s="4223"/>
      <c r="J29" s="4223"/>
      <c r="K29" s="4223"/>
      <c r="L29" s="4223"/>
      <c r="M29" s="4223"/>
    </row>
    <row r="30" spans="1:13" ht="3" customHeight="1">
      <c r="A30" s="4221"/>
      <c r="B30" s="4221"/>
      <c r="C30" s="4221"/>
      <c r="D30" s="4221"/>
      <c r="E30" s="4221"/>
      <c r="F30" s="4221"/>
      <c r="G30" s="4221"/>
      <c r="H30" s="4221"/>
      <c r="I30" s="4221"/>
      <c r="J30" s="4221"/>
      <c r="K30" s="4221"/>
      <c r="L30" s="4221"/>
      <c r="M30" s="4221"/>
    </row>
    <row r="31" spans="1:13" ht="32.25" customHeight="1">
      <c r="A31" s="4223" t="s">
        <v>2664</v>
      </c>
      <c r="B31" s="4223"/>
      <c r="C31" s="4223"/>
      <c r="D31" s="4223"/>
      <c r="E31" s="4223"/>
      <c r="F31" s="4223"/>
      <c r="G31" s="4223"/>
      <c r="H31" s="4223"/>
      <c r="I31" s="4223"/>
      <c r="J31" s="4223"/>
      <c r="K31" s="4223"/>
      <c r="L31" s="4223"/>
      <c r="M31" s="4223"/>
    </row>
    <row r="32" spans="1:13" ht="4.5" customHeight="1">
      <c r="A32" s="4221"/>
      <c r="B32" s="4221"/>
      <c r="C32" s="4221"/>
      <c r="D32" s="4221"/>
      <c r="E32" s="4221"/>
      <c r="F32" s="4221"/>
      <c r="G32" s="4221"/>
      <c r="H32" s="4221"/>
      <c r="I32" s="4221"/>
      <c r="J32" s="4221"/>
      <c r="K32" s="4221"/>
      <c r="L32" s="4221"/>
      <c r="M32" s="4221"/>
    </row>
    <row r="33" spans="1:13">
      <c r="A33" s="4221" t="s">
        <v>901</v>
      </c>
      <c r="B33" s="4221"/>
      <c r="C33" s="4221"/>
      <c r="D33" s="4221"/>
      <c r="E33" s="4221"/>
      <c r="F33" s="4221"/>
      <c r="G33" s="4221"/>
      <c r="H33" s="4221"/>
      <c r="I33" s="4221"/>
      <c r="J33" s="4221"/>
      <c r="K33" s="4221"/>
      <c r="L33" s="4221"/>
      <c r="M33" s="4221"/>
    </row>
    <row r="34" spans="1:13" ht="6" customHeight="1">
      <c r="A34" s="2675"/>
      <c r="B34" s="2675"/>
      <c r="C34" s="2675"/>
      <c r="D34" s="2675"/>
      <c r="E34" s="2675"/>
      <c r="F34" s="2675"/>
      <c r="G34" s="2675"/>
      <c r="H34" s="2675"/>
      <c r="I34" s="2675"/>
      <c r="J34" s="2675"/>
      <c r="K34" s="2675"/>
      <c r="L34" s="2675"/>
      <c r="M34" s="2675"/>
    </row>
    <row r="35" spans="1:13">
      <c r="A35" s="4224"/>
      <c r="B35" s="4224"/>
      <c r="C35" s="4224"/>
      <c r="D35" s="4224"/>
      <c r="E35" s="4224"/>
      <c r="F35" s="4224"/>
      <c r="G35" s="2676"/>
      <c r="H35" s="4224"/>
      <c r="I35" s="4224"/>
      <c r="J35" s="4224"/>
      <c r="K35" s="4224"/>
      <c r="L35" s="4224"/>
      <c r="M35" s="4224"/>
    </row>
    <row r="36" spans="1:13" ht="12" customHeight="1">
      <c r="A36" s="4225" t="s">
        <v>902</v>
      </c>
      <c r="B36" s="4225"/>
      <c r="C36" s="4225"/>
      <c r="D36" s="4225"/>
      <c r="E36" s="4225"/>
      <c r="F36" s="4225"/>
      <c r="G36" s="2676"/>
      <c r="H36" s="4225" t="s">
        <v>1933</v>
      </c>
      <c r="I36" s="4225"/>
      <c r="J36" s="4225"/>
      <c r="K36" s="4225"/>
      <c r="L36" s="4225"/>
      <c r="M36" s="4225"/>
    </row>
    <row r="37" spans="1:13" ht="6" customHeight="1">
      <c r="A37" s="2676"/>
      <c r="B37" s="2676"/>
      <c r="C37" s="2676"/>
      <c r="D37" s="2676"/>
      <c r="E37" s="2676"/>
      <c r="F37" s="2676"/>
      <c r="G37" s="2676"/>
      <c r="H37" s="2676"/>
      <c r="I37" s="2676"/>
      <c r="J37" s="2676"/>
      <c r="K37" s="2676"/>
      <c r="L37" s="2676"/>
      <c r="M37" s="2676"/>
    </row>
    <row r="38" spans="1:13">
      <c r="A38" s="4224"/>
      <c r="B38" s="4224"/>
      <c r="C38" s="4224"/>
      <c r="D38" s="4224"/>
      <c r="E38" s="4224"/>
      <c r="F38" s="4224"/>
      <c r="G38" s="2676"/>
      <c r="H38" s="4226"/>
      <c r="I38" s="4226"/>
      <c r="J38" s="4226"/>
      <c r="K38" s="4226"/>
      <c r="L38" s="4226"/>
      <c r="M38" s="4226"/>
    </row>
    <row r="39" spans="1:13" ht="12" customHeight="1">
      <c r="A39" s="4225" t="s">
        <v>903</v>
      </c>
      <c r="B39" s="4225"/>
      <c r="C39" s="4225"/>
      <c r="D39" s="4225"/>
      <c r="E39" s="4225"/>
      <c r="F39" s="4225"/>
      <c r="G39" s="2676"/>
      <c r="H39" s="4225" t="s">
        <v>904</v>
      </c>
      <c r="I39" s="4225"/>
      <c r="J39" s="4225"/>
      <c r="K39" s="4225"/>
      <c r="L39" s="4225"/>
      <c r="M39" s="4225"/>
    </row>
    <row r="40" spans="1:13" ht="3" customHeight="1">
      <c r="A40" s="2677"/>
      <c r="B40" s="2677"/>
      <c r="C40" s="2677"/>
      <c r="D40" s="2677"/>
      <c r="E40" s="2677"/>
      <c r="F40" s="2677"/>
      <c r="G40" s="2676"/>
      <c r="H40" s="2677"/>
      <c r="I40" s="2677"/>
      <c r="J40" s="2677"/>
      <c r="K40" s="2677"/>
      <c r="L40" s="2677"/>
      <c r="M40" s="2677"/>
    </row>
    <row r="41" spans="1:13" ht="11.4" customHeight="1">
      <c r="A41" s="2672"/>
      <c r="B41" s="2672"/>
      <c r="C41" s="2672"/>
      <c r="D41" s="2672"/>
      <c r="E41" s="2672"/>
      <c r="F41" s="2672"/>
      <c r="G41" s="2672"/>
      <c r="H41" s="4227" t="s">
        <v>905</v>
      </c>
      <c r="I41" s="4227"/>
      <c r="J41" s="4227"/>
      <c r="K41" s="4227"/>
      <c r="L41" s="4227"/>
      <c r="M41" s="4227"/>
    </row>
    <row r="42" spans="1:13" ht="11.4" customHeight="1">
      <c r="A42" s="2672"/>
      <c r="B42" s="2672"/>
      <c r="C42" s="2672"/>
      <c r="D42" s="2672"/>
      <c r="E42" s="2672"/>
      <c r="F42" s="2672"/>
      <c r="G42" s="2672"/>
    </row>
    <row r="43" spans="1:13" ht="11.4" customHeight="1">
      <c r="A43" s="2672"/>
      <c r="B43" s="2672"/>
      <c r="C43" s="2672"/>
      <c r="D43" s="2672"/>
      <c r="E43" s="2672"/>
      <c r="F43" s="2672"/>
      <c r="G43" s="2672"/>
      <c r="H43" s="2672"/>
      <c r="I43" s="2672"/>
      <c r="J43" s="2672"/>
      <c r="K43" s="2672"/>
      <c r="L43" s="2672"/>
      <c r="M43" s="2672"/>
    </row>
    <row r="44" spans="1:13" ht="11.4" customHeight="1">
      <c r="A44" s="2672"/>
      <c r="B44" s="2672"/>
      <c r="C44" s="2672"/>
      <c r="D44" s="2672"/>
      <c r="E44" s="2672"/>
      <c r="F44" s="2672"/>
      <c r="G44" s="2672"/>
      <c r="H44" s="2672"/>
      <c r="I44" s="2672"/>
      <c r="J44" s="2672"/>
      <c r="K44" s="2672"/>
      <c r="L44" s="2672"/>
      <c r="M44" s="2672"/>
    </row>
    <row r="45" spans="1:13" ht="11.4" customHeight="1"/>
    <row r="46" spans="1:13" ht="11.4" customHeight="1"/>
    <row r="47" spans="1:13" ht="11.4" customHeight="1"/>
    <row r="48" spans="1:13" ht="11.4" customHeight="1"/>
    <row r="49" ht="11.4" customHeight="1"/>
  </sheetData>
  <sheetProtection algorithmName="SHA-512" hashValue="y/kn/ZeCek1cefrrBe22Qj8pT1Oc+8EIiinbpwdl4z2wERXxA5cAEiebVb+fdV5n1gMy8YrMLQMi4ftfDKSYzQ==" saltValue="D/bMjgx4UUl4nUdq5iNtg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33" t="s">
        <v>703</v>
      </c>
      <c r="B2" s="4234"/>
      <c r="C2" s="4234"/>
      <c r="D2" s="4234"/>
      <c r="E2" s="4234"/>
      <c r="F2" s="4234"/>
      <c r="G2" s="4234"/>
      <c r="H2" s="4234"/>
      <c r="I2" s="4234"/>
      <c r="J2" s="4234"/>
      <c r="K2" s="4234"/>
      <c r="L2" s="4234"/>
      <c r="M2" s="4234"/>
      <c r="N2" s="4234"/>
      <c r="O2" s="4234"/>
      <c r="P2" s="4234"/>
      <c r="Q2" s="4234"/>
      <c r="R2" s="423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3442</v>
      </c>
      <c r="K12" s="280"/>
      <c r="M12" s="280"/>
      <c r="N12" s="280"/>
      <c r="O12" s="170"/>
      <c r="Q12" s="4228">
        <v>0.1</v>
      </c>
      <c r="R12" s="4229"/>
      <c r="S12" s="291"/>
      <c r="T12" s="168"/>
      <c r="U12" s="168"/>
      <c r="V12" s="945"/>
      <c r="W12" s="945"/>
      <c r="X12" s="945"/>
      <c r="AA12" s="502"/>
      <c r="AB12" s="502"/>
    </row>
    <row r="13" spans="1:28" s="270" customFormat="1" ht="12.75" customHeight="1">
      <c r="A13" s="170"/>
      <c r="B13" s="170"/>
      <c r="C13" s="170"/>
      <c r="F13" s="1563" t="s">
        <v>2634</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36" t="s">
        <v>3253</v>
      </c>
      <c r="G20" s="4237"/>
      <c r="H20" s="4237"/>
      <c r="I20" s="4237"/>
      <c r="J20" s="4238"/>
      <c r="K20" s="280"/>
      <c r="L20" s="542" t="s">
        <v>3442</v>
      </c>
      <c r="M20" s="280"/>
      <c r="N20" s="4236" t="s">
        <v>3253</v>
      </c>
      <c r="O20" s="4237"/>
      <c r="P20" s="4237"/>
      <c r="Q20" s="4237"/>
      <c r="R20" s="4238"/>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3250</v>
      </c>
      <c r="L21" s="543" t="s">
        <v>2546</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3647</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3359</v>
      </c>
      <c r="G81" s="170"/>
      <c r="H81" s="168"/>
      <c r="I81" s="168"/>
      <c r="J81" s="170" t="s">
        <v>1174</v>
      </c>
      <c r="K81" s="170"/>
      <c r="L81" s="170"/>
      <c r="M81" s="170"/>
      <c r="N81" s="170"/>
      <c r="O81" s="170"/>
      <c r="P81" s="168"/>
      <c r="Q81" s="4239">
        <v>1000</v>
      </c>
      <c r="R81" s="4240"/>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39">
        <v>500</v>
      </c>
      <c r="R82" s="4240"/>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4239">
        <v>1500</v>
      </c>
      <c r="R83" s="4240"/>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4239">
        <v>1500</v>
      </c>
      <c r="R84" s="4240"/>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4239">
        <v>1500</v>
      </c>
      <c r="R85" s="4240"/>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4239">
        <v>1500</v>
      </c>
      <c r="R86" s="4240"/>
      <c r="S86" s="282"/>
      <c r="T86" s="282"/>
      <c r="U86" s="282"/>
      <c r="AA86" s="502"/>
      <c r="AB86" s="502"/>
    </row>
    <row r="87" spans="1:28" s="270" customFormat="1" ht="11.4" customHeight="1">
      <c r="A87" s="170"/>
      <c r="B87" s="170"/>
      <c r="C87" s="170"/>
      <c r="D87" s="170"/>
      <c r="E87" s="168"/>
      <c r="F87" s="172" t="s">
        <v>4235</v>
      </c>
      <c r="G87" s="170"/>
      <c r="H87" s="168"/>
      <c r="I87" s="168"/>
      <c r="J87" s="170" t="s">
        <v>1174</v>
      </c>
      <c r="K87" s="170"/>
      <c r="L87" s="170"/>
      <c r="M87" s="170"/>
      <c r="N87" s="170"/>
      <c r="O87" s="170"/>
      <c r="P87" s="168"/>
      <c r="Q87" s="4239">
        <v>6500</v>
      </c>
      <c r="R87" s="4240"/>
      <c r="S87" s="282"/>
      <c r="T87" s="282"/>
      <c r="U87" s="282"/>
      <c r="AA87" s="502"/>
      <c r="AB87" s="502"/>
    </row>
    <row r="88" spans="1:28" s="270" customFormat="1" ht="11.4" customHeight="1">
      <c r="A88" s="170"/>
      <c r="B88" s="170"/>
      <c r="C88" s="170"/>
      <c r="D88" s="170"/>
      <c r="E88" s="168"/>
      <c r="F88" s="172" t="s">
        <v>4235</v>
      </c>
      <c r="G88" s="170"/>
      <c r="H88" s="168"/>
      <c r="I88" s="168"/>
      <c r="J88" s="170" t="s">
        <v>1175</v>
      </c>
      <c r="K88" s="170"/>
      <c r="L88" s="170"/>
      <c r="M88" s="170"/>
      <c r="N88" s="170"/>
      <c r="O88" s="170"/>
      <c r="P88" s="168"/>
      <c r="Q88" s="4239">
        <v>5500</v>
      </c>
      <c r="R88" s="4240"/>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4239">
        <v>5000</v>
      </c>
      <c r="R89" s="4240"/>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4239">
        <v>500</v>
      </c>
      <c r="R90" s="4240"/>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4239">
        <v>1500</v>
      </c>
      <c r="R91" s="4240"/>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32">
        <v>0.08</v>
      </c>
      <c r="R92" s="423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32">
        <v>0.08</v>
      </c>
      <c r="R93" s="4232"/>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4239">
        <v>3000</v>
      </c>
      <c r="R94" s="4240"/>
      <c r="S94" s="282"/>
      <c r="T94" s="282"/>
      <c r="U94" s="282"/>
      <c r="AA94" s="502"/>
      <c r="AB94" s="502"/>
    </row>
    <row r="95" spans="1:28" s="270" customFormat="1" ht="11.4" customHeight="1">
      <c r="A95" s="170"/>
      <c r="C95" s="170"/>
      <c r="D95" s="168"/>
      <c r="E95" s="168"/>
      <c r="F95" s="172" t="s">
        <v>3646</v>
      </c>
      <c r="H95" s="170"/>
      <c r="I95" s="168"/>
      <c r="J95" s="170"/>
      <c r="K95" s="170"/>
      <c r="L95" s="170"/>
      <c r="M95" s="170"/>
      <c r="N95" s="170"/>
      <c r="O95" s="170"/>
      <c r="P95" s="168"/>
      <c r="Q95" s="4239">
        <v>1500</v>
      </c>
      <c r="R95" s="4240"/>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39">
        <v>800</v>
      </c>
      <c r="R96" s="4240"/>
      <c r="S96" s="282"/>
      <c r="T96" s="282"/>
      <c r="U96" s="282"/>
      <c r="AA96" s="502"/>
      <c r="AB96" s="502"/>
    </row>
    <row r="97" spans="1:28" s="270" customFormat="1" ht="11.4" customHeight="1">
      <c r="A97" s="170"/>
      <c r="C97" s="170"/>
      <c r="D97" s="168"/>
      <c r="E97" s="168"/>
      <c r="F97" s="170"/>
      <c r="H97" s="170"/>
      <c r="I97" s="170" t="s">
        <v>4237</v>
      </c>
      <c r="J97" s="170" t="s">
        <v>1498</v>
      </c>
      <c r="K97" s="170"/>
      <c r="L97" s="170"/>
      <c r="M97" s="170"/>
      <c r="N97" s="170"/>
      <c r="O97" s="170"/>
      <c r="P97" s="168"/>
      <c r="Q97" s="4239">
        <v>1000</v>
      </c>
      <c r="R97" s="4240"/>
      <c r="S97" s="282"/>
      <c r="T97" s="282"/>
      <c r="U97" s="282"/>
      <c r="AA97" s="502"/>
      <c r="AB97" s="502"/>
    </row>
    <row r="98" spans="1:28" s="270" customFormat="1" ht="11.4" customHeight="1">
      <c r="A98" s="170"/>
      <c r="B98" s="170"/>
      <c r="C98" s="170"/>
      <c r="D98" s="168"/>
      <c r="E98" s="168"/>
      <c r="H98" s="172" t="s">
        <v>2606</v>
      </c>
      <c r="I98" s="293"/>
      <c r="J98" s="172" t="s">
        <v>1498</v>
      </c>
      <c r="K98" s="172" t="s">
        <v>3658</v>
      </c>
      <c r="L98" s="172"/>
      <c r="M98" s="172"/>
      <c r="N98" s="172"/>
      <c r="O98" s="172"/>
      <c r="P98" s="293"/>
      <c r="Q98" s="4239">
        <v>800</v>
      </c>
      <c r="R98" s="4240"/>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4239">
        <v>1500</v>
      </c>
      <c r="R99" s="4240"/>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4238</v>
      </c>
      <c r="I101" s="168"/>
      <c r="J101" s="170" t="s">
        <v>1719</v>
      </c>
      <c r="K101" s="170"/>
      <c r="L101" s="170"/>
      <c r="M101" s="170"/>
      <c r="N101" s="170"/>
      <c r="O101" s="170"/>
      <c r="P101" s="168"/>
      <c r="Q101" s="4239">
        <v>3000</v>
      </c>
      <c r="R101" s="4240"/>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4239">
        <v>75</v>
      </c>
      <c r="R102" s="4240"/>
      <c r="S102" s="282"/>
      <c r="T102" s="282"/>
      <c r="U102" s="282"/>
      <c r="AA102" s="502"/>
      <c r="AB102" s="502"/>
    </row>
    <row r="103" spans="1:28" customFormat="1" ht="11.25" customHeight="1">
      <c r="B103" s="170" t="s">
        <v>1816</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4247">
        <v>25000</v>
      </c>
      <c r="R104" s="4247"/>
    </row>
    <row r="105" spans="1:28" customFormat="1" ht="11.25" customHeight="1">
      <c r="B105" s="27"/>
      <c r="C105" s="27"/>
      <c r="F105" s="158"/>
      <c r="G105" s="27"/>
      <c r="H105" s="1576"/>
      <c r="I105" s="27"/>
      <c r="J105" s="1582">
        <v>51</v>
      </c>
      <c r="K105" s="1584">
        <v>70</v>
      </c>
      <c r="Q105" s="4246">
        <v>20000</v>
      </c>
      <c r="R105" s="4246"/>
    </row>
    <row r="106" spans="1:28" customFormat="1" ht="11.25" customHeight="1">
      <c r="B106" s="27"/>
      <c r="C106" s="27"/>
      <c r="F106" s="158"/>
      <c r="G106" s="27"/>
      <c r="H106" s="1576"/>
      <c r="I106" s="27"/>
      <c r="J106" s="1582">
        <v>71</v>
      </c>
      <c r="K106" s="1583"/>
      <c r="Q106" s="4245">
        <v>15000</v>
      </c>
      <c r="R106" s="4245"/>
    </row>
    <row r="107" spans="1:28" customFormat="1" ht="11.25" customHeight="1">
      <c r="B107" s="27"/>
      <c r="C107" s="27"/>
      <c r="F107" s="27"/>
      <c r="G107" s="27"/>
      <c r="H107" s="1575">
        <v>0.04</v>
      </c>
      <c r="I107" s="27"/>
      <c r="J107" s="1582">
        <v>1</v>
      </c>
      <c r="K107" s="1584">
        <v>100</v>
      </c>
      <c r="Q107" s="4247">
        <v>18000</v>
      </c>
      <c r="R107" s="4247"/>
    </row>
    <row r="108" spans="1:28" customFormat="1" ht="11.25" customHeight="1">
      <c r="B108" s="27"/>
      <c r="C108" s="27"/>
      <c r="F108" s="27"/>
      <c r="G108" s="27"/>
      <c r="H108" s="1577"/>
      <c r="I108" s="27"/>
      <c r="J108" s="1582">
        <v>101</v>
      </c>
      <c r="K108" s="1584">
        <v>130</v>
      </c>
      <c r="Q108" s="4246">
        <v>15500</v>
      </c>
      <c r="R108" s="4246"/>
    </row>
    <row r="109" spans="1:28" customFormat="1" ht="11.25" customHeight="1">
      <c r="B109" s="27"/>
      <c r="C109" s="27"/>
      <c r="F109" s="27"/>
      <c r="G109" s="27"/>
      <c r="H109" s="1577"/>
      <c r="I109" s="27"/>
      <c r="J109" s="1582">
        <v>131</v>
      </c>
      <c r="K109" s="1583"/>
      <c r="Q109" s="4245">
        <v>13000</v>
      </c>
      <c r="R109" s="4245"/>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4248">
        <v>2000000</v>
      </c>
      <c r="R112" s="4248"/>
    </row>
    <row r="113" spans="1:28" customFormat="1" ht="11.25" customHeight="1">
      <c r="B113" s="27"/>
      <c r="C113" s="27"/>
      <c r="F113" s="27"/>
      <c r="G113" s="27"/>
      <c r="H113" s="1579">
        <v>0.04</v>
      </c>
      <c r="I113" s="1571"/>
      <c r="J113" s="27"/>
      <c r="Q113" s="4248">
        <v>3500000</v>
      </c>
      <c r="R113" s="4248"/>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4243">
        <v>3500000</v>
      </c>
      <c r="R115" s="4244"/>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41">
        <v>0.15</v>
      </c>
      <c r="R116" s="4242"/>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41">
        <v>0.15</v>
      </c>
      <c r="R117" s="424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41">
        <v>0.15</v>
      </c>
      <c r="R118" s="424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41">
        <v>0.15</v>
      </c>
      <c r="R119" s="424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41">
        <v>0.15</v>
      </c>
      <c r="R120" s="4242"/>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41">
        <v>0.15</v>
      </c>
      <c r="R121" s="4242"/>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41" t="s">
        <v>2313</v>
      </c>
      <c r="R122" s="4242"/>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3360</v>
      </c>
      <c r="C128" s="170"/>
      <c r="D128" s="168"/>
      <c r="E128" s="170"/>
      <c r="F128" s="170"/>
      <c r="G128" s="170"/>
      <c r="H128" s="168"/>
      <c r="I128" s="168"/>
      <c r="J128" s="170" t="s">
        <v>1719</v>
      </c>
      <c r="K128" s="170"/>
      <c r="L128" s="170"/>
      <c r="M128" s="170"/>
      <c r="N128" s="170"/>
      <c r="O128" s="170"/>
      <c r="P128" s="168"/>
      <c r="Q128" s="4239">
        <v>3000</v>
      </c>
      <c r="R128" s="4240"/>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32">
        <v>0.02</v>
      </c>
      <c r="R136" s="423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32">
        <v>7.0000000000000007E-2</v>
      </c>
      <c r="R137" s="423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32">
        <v>7.0000000000000007E-2</v>
      </c>
      <c r="R138" s="423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32">
        <v>0.03</v>
      </c>
      <c r="R139" s="423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32">
        <v>0.03</v>
      </c>
      <c r="R140" s="423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32">
        <v>0</v>
      </c>
      <c r="R141" s="423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32">
        <v>0.1</v>
      </c>
      <c r="R143" s="4232"/>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4231">
        <v>1000000</v>
      </c>
      <c r="R144" s="4231"/>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4231">
        <v>1500000</v>
      </c>
      <c r="R145" s="4231"/>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4231">
        <v>375000</v>
      </c>
      <c r="R146" s="4231"/>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4231"/>
      <c r="R147" s="4231"/>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3696</v>
      </c>
      <c r="K148" s="170"/>
      <c r="L148" s="170"/>
      <c r="M148" s="170"/>
      <c r="N148" s="170"/>
      <c r="O148" s="170"/>
      <c r="P148" s="168"/>
      <c r="Q148" s="4231">
        <v>4000000</v>
      </c>
      <c r="R148" s="4231"/>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4232</v>
      </c>
      <c r="K151" s="170"/>
      <c r="L151" s="170"/>
      <c r="M151" s="170"/>
      <c r="N151" s="170"/>
      <c r="O151" s="170"/>
      <c r="P151" s="168"/>
      <c r="Q151" s="4232">
        <v>0.35</v>
      </c>
      <c r="R151" s="4232"/>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32" t="s">
        <v>2724</v>
      </c>
      <c r="R152" s="423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32">
        <v>0.05</v>
      </c>
      <c r="R154" s="4232"/>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32">
        <v>0.4</v>
      </c>
      <c r="R155" s="4232"/>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32">
        <v>0.02</v>
      </c>
      <c r="R156" s="423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0" t="s">
        <v>3829</v>
      </c>
      <c r="E169" s="282"/>
      <c r="F169" s="282"/>
    </row>
    <row r="170" spans="2:37" ht="10.5" customHeight="1">
      <c r="C170" s="4230"/>
      <c r="E170" s="282"/>
      <c r="F170" s="282"/>
    </row>
    <row r="171" spans="2:37" ht="10.5" customHeight="1">
      <c r="C171" s="4230"/>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3664</v>
      </c>
      <c r="O172" s="528" t="s">
        <v>3929</v>
      </c>
      <c r="P172" s="526" t="s">
        <v>2340</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3930</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3931</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3932</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3933</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3934</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3935</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3936</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3937</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3938</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3939</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3940</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3941</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3942</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3943</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3944</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3945</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3946</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3947</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3948</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3949</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3950</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3951</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3952</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3953</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3954</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3955</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3956</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3957</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3959</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3960</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3961</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3962</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3963</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3964</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3965</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3966</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3967</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3968</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3969</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3970</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3971</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3972</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3973</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3974</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3975</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3976</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3977</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3978</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3979</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3980</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3981</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3982</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3983</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3984</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3985</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3986</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3987</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3988</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3989</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3990</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3991</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3992</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3993</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3994</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3995</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3996</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3997</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3999</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4000</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4001</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4002</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4003</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4004</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4006</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4007</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4008</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4009</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4010</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4011</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4012</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4013</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4014</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4015</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4016</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4017</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4018</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3556</v>
      </c>
      <c r="L262" s="970" t="s">
        <v>416</v>
      </c>
      <c r="M262" s="1050" t="s">
        <v>2532</v>
      </c>
      <c r="N262" s="1050" t="s">
        <v>1303</v>
      </c>
      <c r="O262" s="1207" t="s">
        <v>4019</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4020</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4021</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4022</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4023</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4024</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4025</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4026</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4027</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4028</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4029</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4030</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4031</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4032</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3555</v>
      </c>
      <c r="L276" s="970" t="s">
        <v>416</v>
      </c>
      <c r="M276" s="1050" t="s">
        <v>2532</v>
      </c>
      <c r="N276" s="1050" t="s">
        <v>1179</v>
      </c>
      <c r="O276" s="1207" t="s">
        <v>4033</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4034</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4035</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4036</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4037</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4038</v>
      </c>
      <c r="P281" s="530" t="s">
        <v>2270</v>
      </c>
      <c r="Q281" s="291"/>
      <c r="R281" s="170"/>
      <c r="S281" s="387"/>
      <c r="T281" s="491" t="s">
        <v>4240</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4039</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4040</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4041</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4042</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4043</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4044</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4045</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4046</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4047</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4048</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4049</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4050</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4051</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4052</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4053</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4055</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4056</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4057</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4058</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4059</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4060</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4061</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4062</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4063</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4064</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4065</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4066</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4067</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4068</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4069</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4070</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4071</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4072</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4073</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4074</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4075</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4076</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4077</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4078</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4079</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4080</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4081</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4082</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4083</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4084</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4085</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4086</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4087</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4088</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4089</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4249">
        <v>2019</v>
      </c>
      <c r="D334" s="4250"/>
      <c r="E334" s="4250"/>
      <c r="F334" s="4250"/>
      <c r="G334" s="4249">
        <v>2020</v>
      </c>
      <c r="H334" s="4249"/>
      <c r="I334" s="4249"/>
      <c r="J334" s="4249"/>
      <c r="K334"/>
      <c r="L334" s="4251" t="s">
        <v>4764</v>
      </c>
      <c r="M334" s="4252"/>
      <c r="N334" s="4252"/>
      <c r="O334" s="4253"/>
      <c r="P334" s="530" t="s">
        <v>774</v>
      </c>
      <c r="Q334" s="291"/>
      <c r="R334" s="170"/>
      <c r="S334" s="387"/>
      <c r="T334" s="531" t="s">
        <v>671</v>
      </c>
      <c r="U334" s="531" t="s">
        <v>2127</v>
      </c>
      <c r="W334" s="427" t="s">
        <v>1422</v>
      </c>
      <c r="X334" s="427" t="s">
        <v>3279</v>
      </c>
      <c r="AA334" s="27"/>
      <c r="AB334" s="27"/>
      <c r="AC334" s="889"/>
      <c r="AD334" s="502"/>
    </row>
    <row r="335" spans="3:30" ht="10.5" customHeight="1">
      <c r="C335" s="4254" t="s">
        <v>4607</v>
      </c>
      <c r="D335" s="4255" t="s">
        <v>4608</v>
      </c>
      <c r="E335" s="4255" t="s">
        <v>4609</v>
      </c>
      <c r="F335" s="4255" t="s">
        <v>4610</v>
      </c>
      <c r="G335" s="4254" t="s">
        <v>4607</v>
      </c>
      <c r="H335" s="4255" t="s">
        <v>4608</v>
      </c>
      <c r="I335" s="4255" t="s">
        <v>4609</v>
      </c>
      <c r="J335" s="4255" t="s">
        <v>4610</v>
      </c>
      <c r="K335"/>
      <c r="L335" s="4254" t="s">
        <v>4607</v>
      </c>
      <c r="M335" s="4255" t="s">
        <v>4608</v>
      </c>
      <c r="N335" s="4255" t="s">
        <v>4609</v>
      </c>
      <c r="O335" s="4255" t="s">
        <v>4610</v>
      </c>
      <c r="P335" s="530" t="s">
        <v>2359</v>
      </c>
      <c r="Q335" s="291"/>
      <c r="R335" s="170"/>
      <c r="S335" s="387"/>
      <c r="T335" s="491" t="s">
        <v>151</v>
      </c>
      <c r="U335" s="491" t="s">
        <v>1829</v>
      </c>
      <c r="W335" s="427" t="s">
        <v>1549</v>
      </c>
      <c r="X335" s="427" t="s">
        <v>3279</v>
      </c>
      <c r="AA335" s="27"/>
      <c r="AB335" s="27"/>
      <c r="AC335" s="890"/>
      <c r="AD335" s="502"/>
    </row>
    <row r="336" spans="3:30" ht="10.5" customHeight="1">
      <c r="C336" s="4254"/>
      <c r="D336" s="4255"/>
      <c r="E336" s="4255"/>
      <c r="F336" s="4255"/>
      <c r="G336" s="4254"/>
      <c r="H336" s="4255"/>
      <c r="I336" s="4255"/>
      <c r="J336" s="4255"/>
      <c r="K336"/>
      <c r="L336" s="4254"/>
      <c r="M336" s="4255"/>
      <c r="N336" s="4255"/>
      <c r="O336" s="4255"/>
      <c r="P336" s="530" t="s">
        <v>2360</v>
      </c>
      <c r="Q336" s="291"/>
      <c r="R336" s="170"/>
      <c r="S336" s="387"/>
      <c r="T336" s="491" t="s">
        <v>192</v>
      </c>
      <c r="U336" s="491" t="s">
        <v>610</v>
      </c>
      <c r="W336" s="427" t="s">
        <v>2070</v>
      </c>
      <c r="X336" s="427" t="s">
        <v>3279</v>
      </c>
      <c r="AA336" s="27"/>
      <c r="AB336" s="27"/>
      <c r="AC336" s="889"/>
      <c r="AD336" s="502"/>
    </row>
    <row r="337" spans="3:30" ht="10.5" customHeight="1">
      <c r="C337" s="4254"/>
      <c r="D337" s="4255"/>
      <c r="E337" s="4255"/>
      <c r="F337" s="4255"/>
      <c r="G337" s="4254"/>
      <c r="H337" s="4255"/>
      <c r="I337" s="4255"/>
      <c r="J337" s="4255"/>
      <c r="K337"/>
      <c r="L337" s="4254"/>
      <c r="M337" s="4255"/>
      <c r="N337" s="4255"/>
      <c r="O337" s="4255"/>
      <c r="P337" s="530" t="s">
        <v>2362</v>
      </c>
      <c r="Q337" s="291"/>
      <c r="R337" s="170"/>
      <c r="S337" s="387"/>
      <c r="T337" s="491" t="s">
        <v>2502</v>
      </c>
      <c r="U337" s="491" t="s">
        <v>1962</v>
      </c>
      <c r="W337" s="427" t="s">
        <v>2072</v>
      </c>
      <c r="X337" s="427" t="s">
        <v>3279</v>
      </c>
      <c r="AA337" s="27"/>
      <c r="AB337" s="27"/>
      <c r="AC337" s="889"/>
      <c r="AD337" s="502"/>
    </row>
    <row r="338" spans="3:30" ht="10.5" customHeight="1">
      <c r="C338" s="4254"/>
      <c r="D338" s="4255"/>
      <c r="E338" s="4255"/>
      <c r="F338" s="4255"/>
      <c r="G338" s="4254"/>
      <c r="H338" s="4255"/>
      <c r="I338" s="4255"/>
      <c r="J338" s="4255"/>
      <c r="K338"/>
      <c r="L338" s="4254"/>
      <c r="M338" s="4255"/>
      <c r="N338" s="4255"/>
      <c r="O338" s="4255"/>
      <c r="P338" s="530" t="s">
        <v>2364</v>
      </c>
      <c r="Q338" s="291"/>
      <c r="R338" s="170"/>
      <c r="S338" s="387"/>
      <c r="T338" s="491" t="s">
        <v>771</v>
      </c>
      <c r="U338" s="491" t="s">
        <v>103</v>
      </c>
      <c r="W338" s="427" t="s">
        <v>1413</v>
      </c>
      <c r="X338" s="427" t="s">
        <v>3279</v>
      </c>
      <c r="AA338" s="27"/>
      <c r="AB338" s="27"/>
      <c r="AC338" s="889"/>
      <c r="AD338" s="502"/>
    </row>
    <row r="339" spans="3:30" ht="10.5" customHeight="1">
      <c r="C339" s="4254"/>
      <c r="D339" s="4255"/>
      <c r="E339" s="4255"/>
      <c r="F339" s="4255"/>
      <c r="G339" s="4254"/>
      <c r="H339" s="4255"/>
      <c r="I339" s="4255"/>
      <c r="J339" s="4255"/>
      <c r="K339"/>
      <c r="L339" s="4254"/>
      <c r="M339" s="4255"/>
      <c r="N339" s="4255"/>
      <c r="O339" s="4255"/>
      <c r="P339" s="530" t="s">
        <v>2365</v>
      </c>
      <c r="Q339" s="291"/>
      <c r="R339" s="170"/>
      <c r="S339" s="387"/>
      <c r="T339" s="491" t="s">
        <v>773</v>
      </c>
      <c r="U339" s="491" t="s">
        <v>119</v>
      </c>
      <c r="W339" s="427" t="s">
        <v>1523</v>
      </c>
      <c r="X339" s="427" t="s">
        <v>3279</v>
      </c>
      <c r="AA339" s="27"/>
      <c r="AB339" s="27"/>
      <c r="AC339" s="889"/>
      <c r="AD339" s="502"/>
    </row>
    <row r="340" spans="3:30" ht="10.5" customHeight="1">
      <c r="C340" s="4254"/>
      <c r="D340" s="4255"/>
      <c r="E340" s="4255"/>
      <c r="F340" s="4255"/>
      <c r="G340" s="4254"/>
      <c r="H340" s="4255"/>
      <c r="I340" s="4255"/>
      <c r="J340" s="4255"/>
      <c r="K340"/>
      <c r="L340" s="4254"/>
      <c r="M340" s="4255"/>
      <c r="N340" s="4255"/>
      <c r="O340" s="4255"/>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3279</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3279</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3277</v>
      </c>
      <c r="X344" s="427" t="s">
        <v>3279</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3279</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3279</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3279</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3279</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3279</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3279</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3279</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2755</v>
      </c>
      <c r="U352" s="491" t="s">
        <v>2420</v>
      </c>
      <c r="W352" s="427" t="s">
        <v>1021</v>
      </c>
      <c r="X352" s="427" t="s">
        <v>3279</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3279</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3279</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3279</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2354</v>
      </c>
      <c r="X357" s="427" t="s">
        <v>3279</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3279</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3279</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3279</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3279</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3279</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3279</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3279</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1888</v>
      </c>
      <c r="Q366" s="291"/>
      <c r="R366" s="170"/>
      <c r="S366" s="387"/>
      <c r="T366" s="531" t="s">
        <v>4241</v>
      </c>
      <c r="U366" s="531" t="s">
        <v>646</v>
      </c>
      <c r="W366" s="427" t="s">
        <v>2451</v>
      </c>
      <c r="X366" s="427" t="s">
        <v>3279</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3279</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3279</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3279</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3279</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3279</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2220</v>
      </c>
      <c r="Q373" s="291"/>
      <c r="R373" s="170"/>
      <c r="S373" s="387"/>
      <c r="T373" s="491" t="s">
        <v>2758</v>
      </c>
      <c r="U373" s="491" t="s">
        <v>195</v>
      </c>
      <c r="W373" s="427" t="s">
        <v>2200</v>
      </c>
      <c r="X373" s="427" t="s">
        <v>3279</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3279</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3279</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2075</v>
      </c>
      <c r="X376" s="427" t="s">
        <v>3279</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3279</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3279</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3279</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3279</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3279</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3279</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3279</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3279</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3279</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3279</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3279</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3279</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3545</v>
      </c>
      <c r="Q394" s="291"/>
      <c r="R394" s="170"/>
      <c r="S394" s="387"/>
      <c r="T394" s="491" t="s">
        <v>2303</v>
      </c>
      <c r="U394" s="491" t="s">
        <v>2417</v>
      </c>
      <c r="W394" s="427" t="s">
        <v>1668</v>
      </c>
      <c r="X394" s="427" t="s">
        <v>3279</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3279</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3279</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3279</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3279</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2763</v>
      </c>
      <c r="U456" s="491" t="s">
        <v>2135</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2279</v>
      </c>
      <c r="Q484" s="291"/>
      <c r="R484" s="170"/>
      <c r="S484" s="387"/>
      <c r="T484" s="491" t="s">
        <v>2764</v>
      </c>
      <c r="U484" s="491" t="s">
        <v>2466</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3753</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2766</v>
      </c>
      <c r="U538" s="491" t="s">
        <v>2133</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1838</v>
      </c>
      <c r="Q671" s="291"/>
      <c r="R671" s="170"/>
      <c r="S671" s="387"/>
      <c r="T671" s="491" t="s">
        <v>2771</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1840</v>
      </c>
      <c r="Q672" s="291"/>
      <c r="R672" s="170"/>
      <c r="S672" s="387"/>
      <c r="T672" s="491" t="s">
        <v>2772</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2450</v>
      </c>
      <c r="Q678" s="291"/>
      <c r="R678" s="170"/>
      <c r="S678" s="387"/>
      <c r="T678" s="491" t="s">
        <v>2773</v>
      </c>
      <c r="U678" s="491" t="s">
        <v>1904</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1855</v>
      </c>
      <c r="Q693" s="291"/>
      <c r="R693" s="170"/>
      <c r="S693" s="387"/>
      <c r="T693" s="491" t="s">
        <v>4242</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1921</v>
      </c>
      <c r="Q706" s="291"/>
      <c r="R706" s="170"/>
      <c r="S706" s="387"/>
      <c r="T706" s="491" t="s">
        <v>4243</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2776</v>
      </c>
      <c r="U727" s="531" t="s">
        <v>1864</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zCpw7PDDSRyc5Ux/Ze8klGttazDzjvevI+CWvSPjAY1ErWQdRWvGzdaGoASYrwNOB3q6bKALQbjJUfRwZwauHg==" saltValue="SJqg4J44/v4JfTVSh0iVN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topLeftCell="B1" workbookViewId="0">
      <selection activeCell="B1240" sqref="A1:XFD1048576"/>
    </sheetView>
  </sheetViews>
  <sheetFormatPr defaultColWidth="8.88671875" defaultRowHeight="13.2"/>
  <cols>
    <col min="1" max="1" width="9.109375" style="1995" bestFit="1" customWidth="1"/>
    <col min="2" max="2" width="10.109375" style="1995" bestFit="1" customWidth="1"/>
    <col min="3" max="6" width="9.5546875" style="1995" bestFit="1" customWidth="1"/>
    <col min="7" max="7" width="9.88671875" style="1995" bestFit="1" customWidth="1"/>
    <col min="8" max="8" width="15" style="1995" bestFit="1" customWidth="1"/>
    <col min="9" max="9" width="14.5546875" style="1995" bestFit="1" customWidth="1"/>
    <col min="10" max="11" width="11.6640625" style="1995" bestFit="1" customWidth="1"/>
    <col min="12" max="12" width="9.44140625" style="1995" bestFit="1" customWidth="1"/>
    <col min="13" max="14" width="9.109375" style="1995" bestFit="1" customWidth="1"/>
    <col min="15" max="15" width="12.44140625" style="1995" bestFit="1" customWidth="1"/>
    <col min="16" max="16" width="14.33203125" style="1995" bestFit="1" customWidth="1"/>
    <col min="17" max="17" width="11.664062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The Pointe at St. Martin</v>
      </c>
    </row>
    <row r="3" spans="1:6" ht="13.8">
      <c r="A3" s="1818" t="str">
        <f>CONCATENATE('Part I-Project Information'!F38,", ", 'Part I-Project Information'!J39," County")</f>
        <v>Hartwell, Hart County</v>
      </c>
    </row>
    <row r="5" spans="1:6" ht="13.2" customHeight="1">
      <c r="A5" s="1844" t="str">
        <f>'Project Narrative'!A5</f>
        <v xml:space="preserve">              The Pointe at St. Martin will be located on a +/- 8-acre site inside the city limits of Hartwell in Hart County, Georgia. The site is convenient to numerous desirable amenities and activities while maintaining a peaceful, rural seeming atmosphere. The site is in an area of larger lot single-family homes, multi-family developments and vacant land.  The site is well-located with regard to neighborhood amenities, both point eligible and non-point eligible.  The Pointe at St. Martin will maintain the community’s character and provide much needed affordable housing to the community. The proposal is for 60 multi-family units comprised of 8 one-bedroom units, 36 two-bedroom units and 16 three-bedroom units.  The Pointe will provide decent, safe, attractive, well-located affordable housing for low to moderate income families in the Hartwell area of Hart County. 
     	The proposed development is located less than 2 (two) miles from the quaint and quiet downtown area of Hartwell. Hartwell is home to Lake Hartwell and located in the northeast Georgia on the Georgia-South Carolina line. It has access to a number of desirable amenities, such as but not limited to, departments stores, restaurants, doctor's offices, pharmacies, high scoring schools, municipal offices, and places of worship. The area also offers a host of local activities, such as camping, parks, and museums. Hartwell has many historic sites and areas within the city. There are seasonal festivals in Hartwell, including Dancing on Depot, ARTS in Hartwell Festival, Antique Boat Festival, Annual Lake Hartwell Dam Run, and the Spring Fever Regatta, and many more. 
     	The development's onsite playground, combined with the community garden and healthy eating classes, will encourage a healthy, family-oriented lifestyle among residents. The furnished community spaces will give residents numerous opportunities to interact and socialize with other tenants. Higher resident engagement for events can lead to greater resident satisfaction and it is the hope of the development that the residents will take the lead in the planning and maintenance of the community garden. Community gardens are rewarding for children and adults. The development community can even use the vegetables collected from the community garden for monthly potlucks in the community building. The management team will work with residents in the monthly Healthy Eating Initiative Classes to share healthy recipes using accessible foods and vegetables grown in the garden. Residents will be invited to share with the group their favorite healthy recipes and demonstrate in a cooking class setting. Season after season the residents can reap the fruits of their collective labor.  
     	The Pointe at St. Martin has a partnership with All Things Are Possible (ATAP), student services provider, that will bring educational professionals to the development on a minimum weekly basis and enable residents and their children to seek the educational support necessary to help students succeed in school. All Things Are Possible brings innovative academic enhancement with a focus on literacy that encourages higher levels of academic performance and development through gaming, music, projects, and exercise. They also focus on character and leadership development that promotes healthy family relationships, life skills that build healthy and foundational responsibilities towards society building characteristics like hard work, honesty, responsibility, setting life goals, kindness and ethics. Outcomes of this service will be tracked and reported monthly to the management team. This service is at no additional costs to the residents. This site allows the families who will live in the property to access three very successful schools. Hartwell Elementary School is located 1.2 miles from the proposed development and has an average CCRPI score of 76.13. Hart County Middle School is located .8 miles from the proposed development and has an average CCRPI score of 72.03. Hart County High School is located 1.1 miles from the proposed development and has an average CCRPI score of 71.6. 
    	The proposed development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gathering area and an outdoor playground. The Terrace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City of Hartwell is a certified GICH participant. The City’s GICH Initiatives align with the initiatives of The Pointe at St. Martin. In a collaborative effort to bring decent, safe, and affordable housing to the City of Hartwell, the GICH Team has issued a letter of support to the development, executed by Michelle Wetherbee, GICH Primary Contact, City of Hartwell. In addition to the letter of support from the GICH Team, the development has also received a letter of support from the local government in Hartwell. This letter was executed by Brandon Johnson, Mayor of Hartwell, GA. 
     	The Pointe at St. Martin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The construction and management of The Pointe at St. Martin will be performed by Fyffe Construction Company, Inc. and Vantage Management, LLC, respectively, and both companies are owned by Lowell R. Barron, II. By offering amiable amenities, engaging activities, and affordable rents The Pointe at St. Martin will meet a critical need for the citizens of Hartwell, GA.</v>
      </c>
      <c r="B5" s="1973" t="s">
        <v>4459</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6917</v>
      </c>
      <c r="H30" s="1819"/>
      <c r="I30" s="1819"/>
      <c r="J30" s="1819"/>
      <c r="K30" s="1819"/>
      <c r="L30" s="1821"/>
      <c r="M30" s="1819"/>
      <c r="N30" s="1819"/>
      <c r="O30" s="1819"/>
      <c r="P30" s="1826" t="s">
        <v>3649</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2020-091</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3604</v>
      </c>
      <c r="G34" s="1819"/>
      <c r="H34" s="1819"/>
      <c r="I34" s="1824">
        <f>'Part IV-A-Uses of Funds'!$J$184</f>
        <v>800991</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3535</v>
      </c>
      <c r="J36" s="1819" t="s">
        <v>6963</v>
      </c>
      <c r="K36" s="1819"/>
      <c r="L36" s="1821"/>
      <c r="M36" s="1819"/>
      <c r="N36" s="1819"/>
      <c r="O36" s="1819" t="str">
        <f>'Part I-Project Information'!O11</f>
        <v>2020PA-062</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t="str">
        <f>'Part I-Project Information'!P15</f>
        <v>No</v>
      </c>
      <c r="Q40" s="1819"/>
      <c r="R40" s="1819"/>
      <c r="S40" s="1819"/>
      <c r="T40" s="1819"/>
      <c r="U40" s="1819"/>
    </row>
    <row r="41" spans="1:21" ht="13.8">
      <c r="A41" s="1821"/>
      <c r="B41" s="1819" t="s">
        <v>3603</v>
      </c>
      <c r="C41" s="1819"/>
      <c r="D41" s="1819"/>
      <c r="E41" s="1819"/>
      <c r="F41" s="1861" t="str">
        <f>'Part I-Project Information'!F16</f>
        <v>No</v>
      </c>
      <c r="G41" s="1819" t="s">
        <v>4452</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3656</v>
      </c>
      <c r="C45" s="1819"/>
      <c r="D45" s="1819"/>
      <c r="E45" s="1819"/>
      <c r="F45" s="1819" t="str">
        <f>'Part I-Project Information'!F20</f>
        <v>NAHPA, Inc. (Nat'l Aff Hsg Pres Associates, Inc.)</v>
      </c>
      <c r="G45" s="1819"/>
      <c r="H45" s="1819"/>
      <c r="I45" s="1819" t="s">
        <v>1753</v>
      </c>
      <c r="J45" s="1819" t="str">
        <f>'Part I-Project Information'!J20</f>
        <v>Mark E. English</v>
      </c>
      <c r="K45" s="1819"/>
      <c r="L45" s="1819"/>
      <c r="M45" s="1823" t="s">
        <v>1933</v>
      </c>
      <c r="N45" s="1819" t="str">
        <f>'Part I-Project Information'!N20</f>
        <v>President of General Partner</v>
      </c>
      <c r="O45" s="1819"/>
      <c r="P45" s="1819"/>
      <c r="Q45" s="1819"/>
      <c r="R45" s="1819"/>
      <c r="S45" s="1819"/>
      <c r="T45" s="1819"/>
      <c r="U45" s="1819"/>
    </row>
    <row r="46" spans="1:21" ht="13.95" customHeight="1">
      <c r="A46" s="1819"/>
      <c r="B46" s="1823" t="s">
        <v>1934</v>
      </c>
      <c r="C46" s="1819"/>
      <c r="D46" s="1819"/>
      <c r="E46" s="1819"/>
      <c r="F46" s="1819" t="str">
        <f>'Part I-Project Information'!F21</f>
        <v>100 Towncenter Blvd. Suite 300</v>
      </c>
      <c r="G46" s="1819"/>
      <c r="H46" s="1819"/>
      <c r="I46" s="1819"/>
      <c r="J46" s="1819"/>
      <c r="K46" s="1819"/>
      <c r="L46" s="1819"/>
      <c r="M46" s="1849" t="s">
        <v>3655</v>
      </c>
      <c r="N46" s="1849"/>
      <c r="O46" s="1849"/>
      <c r="P46" s="1849"/>
      <c r="Q46" s="1819"/>
      <c r="R46" s="1819"/>
      <c r="S46" s="1819"/>
      <c r="T46" s="1819"/>
      <c r="U46" s="1819"/>
    </row>
    <row r="47" spans="1:21" ht="13.8">
      <c r="A47" s="1819"/>
      <c r="B47" s="1823" t="s">
        <v>600</v>
      </c>
      <c r="C47" s="1819"/>
      <c r="D47" s="1819"/>
      <c r="E47" s="1819"/>
      <c r="F47" s="1819" t="str">
        <f>'Part I-Project Information'!F22</f>
        <v>Tuscaloosa</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354061835</v>
      </c>
      <c r="G48" s="2187"/>
      <c r="H48" s="2187"/>
      <c r="I48" s="1823" t="s">
        <v>1678</v>
      </c>
      <c r="J48" s="2188">
        <f>'Part I-Project Information'!J23</f>
        <v>2057229331</v>
      </c>
      <c r="K48" s="2188"/>
      <c r="L48" s="1821" t="s">
        <v>1677</v>
      </c>
      <c r="M48" s="1821">
        <f>'Part I-Project Information'!M23</f>
        <v>0</v>
      </c>
      <c r="N48" s="1823" t="s">
        <v>1679</v>
      </c>
      <c r="O48" s="2188">
        <f>'Part I-Project Information'!O23</f>
        <v>2057229331</v>
      </c>
      <c r="P48" s="2188"/>
      <c r="Q48" s="1819"/>
      <c r="R48" s="1819"/>
      <c r="S48" s="1819"/>
      <c r="T48" s="1819"/>
      <c r="U48" s="1819"/>
    </row>
    <row r="49" spans="1:21" ht="13.8">
      <c r="A49" s="1819"/>
      <c r="B49" s="1823" t="s">
        <v>1937</v>
      </c>
      <c r="C49" s="1819"/>
      <c r="D49" s="1819"/>
      <c r="E49" s="1819"/>
      <c r="F49" s="1819" t="str">
        <f>'Part I-Project Information'!F24</f>
        <v>mark@nahpa.org</v>
      </c>
      <c r="G49" s="1819"/>
      <c r="H49" s="1819"/>
      <c r="I49" s="1819"/>
      <c r="J49" s="1819"/>
      <c r="K49" s="1819"/>
      <c r="L49" s="1819"/>
      <c r="M49" s="1819"/>
      <c r="N49" s="1823" t="s">
        <v>1932</v>
      </c>
      <c r="O49" s="2188">
        <f>'Part I-Project Information'!O24</f>
        <v>2053948000</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3656</v>
      </c>
      <c r="C51" s="1819"/>
      <c r="D51" s="1819"/>
      <c r="E51" s="1819"/>
      <c r="F51" s="1819" t="str">
        <f>'Part I-Project Information'!F26</f>
        <v>Vantage Development</v>
      </c>
      <c r="G51" s="1819"/>
      <c r="H51" s="1819"/>
      <c r="I51" s="1819" t="s">
        <v>1753</v>
      </c>
      <c r="J51" s="1819" t="str">
        <f>'Part I-Project Information'!J26</f>
        <v>Jay B. Ronca</v>
      </c>
      <c r="K51" s="1819"/>
      <c r="L51" s="1819"/>
      <c r="M51" s="1823" t="s">
        <v>1933</v>
      </c>
      <c r="N51" s="1819" t="str">
        <f>'Part I-Project Information'!N26</f>
        <v>Vice President of Consultant</v>
      </c>
      <c r="O51" s="1819"/>
      <c r="P51" s="1819"/>
      <c r="Q51" s="1819"/>
      <c r="R51" s="1819"/>
      <c r="S51" s="1819"/>
      <c r="T51" s="1819"/>
      <c r="U51" s="1819"/>
    </row>
    <row r="52" spans="1:21" ht="13.95" customHeight="1">
      <c r="A52" s="1819"/>
      <c r="B52" s="1823" t="s">
        <v>1934</v>
      </c>
      <c r="C52" s="1819"/>
      <c r="D52" s="1819"/>
      <c r="E52" s="1819"/>
      <c r="F52" s="1819" t="str">
        <f>'Part I-Project Information'!F27</f>
        <v>1544 S. Main Street</v>
      </c>
      <c r="G52" s="1819"/>
      <c r="H52" s="1819"/>
      <c r="I52" s="1819"/>
      <c r="J52" s="1819"/>
      <c r="K52" s="1819"/>
      <c r="L52" s="1819"/>
      <c r="M52" s="1849" t="s">
        <v>3655</v>
      </c>
      <c r="N52" s="1849"/>
      <c r="O52" s="1849"/>
      <c r="P52" s="1849"/>
      <c r="Q52" s="1819"/>
      <c r="R52" s="1819"/>
      <c r="S52" s="1819"/>
      <c r="T52" s="1819"/>
      <c r="U52" s="1819"/>
    </row>
    <row r="53" spans="1:21" ht="13.8">
      <c r="A53" s="1819"/>
      <c r="B53" s="1823" t="s">
        <v>600</v>
      </c>
      <c r="C53" s="1819"/>
      <c r="D53" s="1819"/>
      <c r="E53" s="1819"/>
      <c r="F53" s="1819" t="str">
        <f>'Part I-Project Information'!F28</f>
        <v>Fyffe</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359713484</v>
      </c>
      <c r="G54" s="2187"/>
      <c r="H54" s="2187"/>
      <c r="I54" s="1823" t="s">
        <v>1678</v>
      </c>
      <c r="J54" s="2188">
        <f>'Part I-Project Information'!J29</f>
        <v>2564174920</v>
      </c>
      <c r="K54" s="2188"/>
      <c r="L54" s="1821" t="s">
        <v>1677</v>
      </c>
      <c r="M54" s="1821">
        <f>'Part I-Project Information'!M29</f>
        <v>224</v>
      </c>
      <c r="N54" s="1823" t="s">
        <v>1679</v>
      </c>
      <c r="O54" s="2188">
        <f>'Part I-Project Information'!O29</f>
        <v>4047887162</v>
      </c>
      <c r="P54" s="2188"/>
      <c r="Q54" s="1819"/>
      <c r="R54" s="1819"/>
      <c r="S54" s="1819"/>
      <c r="T54" s="1819"/>
      <c r="U54" s="1819"/>
    </row>
    <row r="55" spans="1:21" ht="13.8">
      <c r="A55" s="1819"/>
      <c r="B55" s="1823" t="s">
        <v>1937</v>
      </c>
      <c r="C55" s="1819"/>
      <c r="D55" s="1819"/>
      <c r="E55" s="1819"/>
      <c r="F55" s="1819" t="str">
        <f>'Part I-Project Information'!F30</f>
        <v>jronca@thevantagegroup.biz</v>
      </c>
      <c r="G55" s="1819"/>
      <c r="H55" s="1819"/>
      <c r="I55" s="1819"/>
      <c r="J55" s="1819"/>
      <c r="K55" s="1819"/>
      <c r="L55" s="1819"/>
      <c r="M55" s="1819"/>
      <c r="N55" s="1823" t="s">
        <v>1932</v>
      </c>
      <c r="O55" s="2188">
        <f>'Part I-Project Information'!O30</f>
        <v>4047887162</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The Pointe at St. Martin</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310 Ridge Road</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6849</v>
      </c>
      <c r="C61" s="1819"/>
      <c r="D61" s="1826"/>
      <c r="E61" s="1819"/>
      <c r="F61" s="1965" t="str">
        <f>'Part I-Project Information'!F36</f>
        <v>310 Ridge Road</v>
      </c>
      <c r="G61" s="1965"/>
      <c r="H61" s="1965"/>
      <c r="I61" s="1965"/>
      <c r="J61" s="1965"/>
      <c r="K61" s="1965"/>
      <c r="L61" s="1823" t="s">
        <v>2002</v>
      </c>
      <c r="M61" s="1819"/>
      <c r="N61" s="1821" t="str">
        <f>'Part I-Project Information'!N36</f>
        <v>No</v>
      </c>
      <c r="O61" s="1821" t="s">
        <v>3506</v>
      </c>
      <c r="P61" s="1821">
        <f>'Part I-Project Information'!P36</f>
        <v>1</v>
      </c>
      <c r="Q61" s="1819"/>
      <c r="R61" s="1819"/>
      <c r="S61" s="1819"/>
      <c r="T61" s="1819"/>
      <c r="U61" s="1819"/>
    </row>
    <row r="62" spans="1:21" ht="13.8">
      <c r="A62" s="1826"/>
      <c r="B62" s="1819" t="s">
        <v>3553</v>
      </c>
      <c r="C62" s="1819"/>
      <c r="D62" s="1826"/>
      <c r="E62" s="1819"/>
      <c r="F62" s="1819" t="s">
        <v>3536</v>
      </c>
      <c r="G62" s="2189">
        <f>'Part I-Project Information'!G37</f>
        <v>34.357888000000003</v>
      </c>
      <c r="H62" s="2189"/>
      <c r="I62" s="1821" t="s">
        <v>3537</v>
      </c>
      <c r="J62" s="2189">
        <f>'Part I-Project Information'!J37</f>
        <v>-82.914888000000005</v>
      </c>
      <c r="K62" s="2189"/>
      <c r="L62" s="1823" t="s">
        <v>2225</v>
      </c>
      <c r="M62" s="1819"/>
      <c r="N62" s="1819"/>
      <c r="O62" s="2190">
        <f>'Part I-Project Information'!O37</f>
        <v>8.6460000000000008</v>
      </c>
      <c r="P62" s="2190"/>
      <c r="Q62" s="1819"/>
      <c r="R62" s="1819"/>
      <c r="S62" s="1819"/>
      <c r="T62" s="1819"/>
      <c r="U62" s="1819"/>
    </row>
    <row r="63" spans="1:21" ht="14.4">
      <c r="A63" s="1821"/>
      <c r="B63" s="1819" t="s">
        <v>600</v>
      </c>
      <c r="C63" s="1819"/>
      <c r="D63" s="1819"/>
      <c r="E63" s="1819"/>
      <c r="F63" s="1819" t="str">
        <f>'Part I-Project Information'!F38</f>
        <v>Hartwell</v>
      </c>
      <c r="G63" s="1819"/>
      <c r="H63" s="1819"/>
      <c r="I63" s="1829" t="s">
        <v>6964</v>
      </c>
      <c r="J63" s="2187">
        <f>'Part I-Project Information'!J38</f>
        <v>306430000</v>
      </c>
      <c r="K63" s="2187"/>
      <c r="L63" s="1819" t="str">
        <f>IF(AND(NOT(F59=""),NOT(F63="Select from list"),J63=""),"Enter Zip!","")</f>
        <v/>
      </c>
      <c r="M63" s="1830" t="s">
        <v>2803</v>
      </c>
      <c r="N63" s="1819"/>
      <c r="O63" s="2067" t="str">
        <f>'Part I-Project Information'!O38</f>
        <v>9605</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Hart</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2690</v>
      </c>
      <c r="H65" s="1819"/>
      <c r="I65" s="1821" t="str">
        <f>'Part I-Project Information'!I40</f>
        <v>Yes</v>
      </c>
      <c r="J65" s="1821" t="s">
        <v>2708</v>
      </c>
      <c r="K65" s="1821" t="str">
        <f>'Part I-Project Information'!K40</f>
        <v>Rural</v>
      </c>
      <c r="L65" s="1819"/>
      <c r="M65" s="1823" t="s">
        <v>2544</v>
      </c>
      <c r="N65" s="1821" t="str">
        <f>'Part I-Project Information'!N40</f>
        <v>Non-MSA</v>
      </c>
      <c r="O65" s="1819" t="str">
        <f>'Part I-Project Information'!O40</f>
        <v>Hart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2673</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9</v>
      </c>
      <c r="G68" s="2191"/>
      <c r="H68" s="2191">
        <f>'Part I-Project Information'!H43</f>
        <v>24</v>
      </c>
      <c r="I68" s="2191"/>
      <c r="J68" s="2191">
        <f>'Part I-Project Information'!J43</f>
        <v>32</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Hartwell Police Department</v>
      </c>
      <c r="G71" s="1882"/>
      <c r="H71" s="1882"/>
      <c r="I71" s="1882"/>
      <c r="J71" s="1882"/>
      <c r="K71" s="1882"/>
      <c r="L71" s="1833" t="s">
        <v>2625</v>
      </c>
      <c r="M71" s="1819" t="str">
        <f>'Part I-Project Information'!M46</f>
        <v>http://www.bleckley.org/</v>
      </c>
      <c r="N71" s="1819"/>
      <c r="O71" s="1819"/>
      <c r="P71" s="1819"/>
      <c r="Q71" s="1819"/>
      <c r="R71" s="1819"/>
      <c r="S71" s="1819"/>
      <c r="T71" s="1819"/>
      <c r="U71" s="1819"/>
    </row>
    <row r="72" spans="1:21" ht="13.8">
      <c r="A72" s="1821"/>
      <c r="B72" s="1819" t="s">
        <v>620</v>
      </c>
      <c r="C72" s="1819"/>
      <c r="D72" s="1819"/>
      <c r="E72" s="1819"/>
      <c r="F72" s="1882" t="str">
        <f>'Part I-Project Information'!F47</f>
        <v>Brandon Johnson</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456 East Howell Street #2194</v>
      </c>
      <c r="G73" s="1882"/>
      <c r="H73" s="1882"/>
      <c r="I73" s="1882"/>
      <c r="J73" s="1882"/>
      <c r="K73" s="1882"/>
      <c r="L73" s="1823" t="s">
        <v>600</v>
      </c>
      <c r="M73" s="1882" t="str">
        <f>'Part I-Project Information'!M48</f>
        <v>Hartwell</v>
      </c>
      <c r="N73" s="1882"/>
      <c r="O73" s="1882"/>
      <c r="P73" s="1882"/>
      <c r="Q73" s="1819"/>
      <c r="R73" s="1819"/>
      <c r="S73" s="1819"/>
      <c r="T73" s="1819"/>
      <c r="U73" s="1819"/>
    </row>
    <row r="74" spans="1:21" ht="13.8">
      <c r="A74" s="1821"/>
      <c r="B74" s="1823" t="s">
        <v>2173</v>
      </c>
      <c r="C74" s="1819"/>
      <c r="D74" s="1819"/>
      <c r="E74" s="1819"/>
      <c r="F74" s="2187">
        <f>'Part I-Project Information'!F49</f>
        <v>306432194</v>
      </c>
      <c r="G74" s="2187"/>
      <c r="H74" s="1821" t="s">
        <v>1935</v>
      </c>
      <c r="I74" s="2188">
        <f>'Part I-Project Information'!I49</f>
        <v>7063764756</v>
      </c>
      <c r="J74" s="2188"/>
      <c r="K74" s="2188"/>
      <c r="L74" s="1823" t="s">
        <v>1755</v>
      </c>
      <c r="M74" s="1882" t="str">
        <f>'Part I-Project Information'!M49</f>
        <v>bwjohnson83@yahoo.com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60</v>
      </c>
      <c r="I79" s="1827"/>
      <c r="J79" s="1827"/>
      <c r="K79" s="1823" t="s">
        <v>3499</v>
      </c>
      <c r="L79" s="1819"/>
      <c r="M79" s="1955" t="s">
        <v>3498</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3433</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60</v>
      </c>
      <c r="I86" s="1839">
        <f>SUM(I87:I93)</f>
        <v>0</v>
      </c>
      <c r="J86" s="1821"/>
      <c r="K86" s="1827" t="s">
        <v>2682</v>
      </c>
      <c r="L86" s="1819"/>
      <c r="M86" s="1819"/>
      <c r="N86" s="1819"/>
      <c r="O86" s="1819"/>
      <c r="P86" s="1839">
        <f>SUM(P87:P93)</f>
        <v>65436</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48</v>
      </c>
      <c r="I89" s="1834">
        <f>'Part I-Project Information'!I64</f>
        <v>0</v>
      </c>
      <c r="J89" s="1819"/>
      <c r="K89" s="1819"/>
      <c r="L89" s="1827" t="s">
        <v>4214</v>
      </c>
      <c r="M89" s="1819"/>
      <c r="N89" s="1819"/>
      <c r="O89" s="1819"/>
      <c r="P89" s="1834">
        <f>'Part I-Project Information'!P64</f>
        <v>52242</v>
      </c>
      <c r="Q89" s="1819"/>
      <c r="R89" s="1819"/>
      <c r="S89" s="1819"/>
      <c r="T89" s="1819"/>
      <c r="U89" s="1819"/>
    </row>
    <row r="90" spans="1:21" ht="13.8">
      <c r="A90" s="1821"/>
      <c r="B90" s="1819"/>
      <c r="C90" s="1819"/>
      <c r="D90" s="1827" t="s">
        <v>4215</v>
      </c>
      <c r="E90" s="1819"/>
      <c r="F90" s="1819"/>
      <c r="G90" s="1819"/>
      <c r="H90" s="1834">
        <f>'Part I-Project Information'!H65</f>
        <v>12</v>
      </c>
      <c r="I90" s="1834">
        <f>'Part I-Project Information'!I65</f>
        <v>0</v>
      </c>
      <c r="J90" s="1819"/>
      <c r="K90" s="1819"/>
      <c r="L90" s="1827" t="s">
        <v>4215</v>
      </c>
      <c r="M90" s="1819"/>
      <c r="N90" s="1819"/>
      <c r="O90" s="1819"/>
      <c r="P90" s="1834">
        <f>'Part I-Project Information'!P65</f>
        <v>13194</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60</v>
      </c>
      <c r="I95" s="1819"/>
      <c r="J95" s="1821"/>
      <c r="K95" s="1827" t="s">
        <v>2684</v>
      </c>
      <c r="L95" s="1819"/>
      <c r="M95" s="1819"/>
      <c r="N95" s="1819"/>
      <c r="O95" s="1819"/>
      <c r="P95" s="1839">
        <f>P86+P94</f>
        <v>65436</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60</v>
      </c>
      <c r="I97" s="1819"/>
      <c r="J97" s="1819"/>
      <c r="K97" s="1827" t="s">
        <v>1392</v>
      </c>
      <c r="L97" s="1819"/>
      <c r="M97" s="1819"/>
      <c r="N97" s="1819"/>
      <c r="O97" s="1819"/>
      <c r="P97" s="1839">
        <f>+P95+P96</f>
        <v>65436</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4</v>
      </c>
      <c r="I99" s="1819"/>
      <c r="J99" s="1819"/>
      <c r="K99" s="1827" t="s">
        <v>6815</v>
      </c>
      <c r="L99" s="1819"/>
      <c r="M99" s="1819"/>
      <c r="N99" s="1819"/>
      <c r="O99" s="1819"/>
      <c r="P99" s="1839">
        <f>'Part I-Project Information'!P74</f>
        <v>2499</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67935</v>
      </c>
      <c r="Q100" s="1819"/>
      <c r="R100" s="1819"/>
      <c r="S100" s="1819"/>
      <c r="T100" s="1819"/>
      <c r="U100" s="1819"/>
    </row>
    <row r="101" spans="1:21" ht="13.8">
      <c r="A101" s="1821"/>
      <c r="B101" s="1821"/>
      <c r="C101" s="1819"/>
      <c r="D101" s="1838" t="s">
        <v>1951</v>
      </c>
      <c r="E101" s="1819"/>
      <c r="F101" s="1819"/>
      <c r="G101" s="1819"/>
      <c r="H101" s="1839">
        <f>+H99+H100</f>
        <v>5</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149</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6816</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4391</v>
      </c>
      <c r="L109" s="1840" t="s">
        <v>2808</v>
      </c>
      <c r="M109" s="1839">
        <f>'Part I-Project Information'!M84</f>
        <v>0</v>
      </c>
      <c r="N109" s="1840" t="s">
        <v>2809</v>
      </c>
      <c r="O109" s="1839">
        <f>'Part I-Project Information'!O84</f>
        <v>0</v>
      </c>
      <c r="P109" s="1823" t="s">
        <v>4390</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0</v>
      </c>
      <c r="N110" s="1826" t="s">
        <v>3652</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0.05</v>
      </c>
      <c r="O112" s="1826" t="s">
        <v>3518</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2</v>
      </c>
      <c r="I113" s="1819"/>
      <c r="J113" s="1819"/>
      <c r="K113" s="1819" t="s">
        <v>2742</v>
      </c>
      <c r="L113" s="1819"/>
      <c r="M113" s="1819"/>
      <c r="N113" s="1841">
        <f>'Part I-Project Information'!N88</f>
        <v>0.66666666666666663</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3.3333333333333333E-2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4374</v>
      </c>
      <c r="L121" s="1819"/>
      <c r="M121" s="1819"/>
      <c r="N121" s="2065"/>
      <c r="O121" s="1819"/>
      <c r="P121" s="1821" t="str">
        <f>'Part I-Project Information'!P96</f>
        <v>No</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Yes</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No</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1700991</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1 The Crest at Hastings, LP</v>
      </c>
      <c r="D150" s="1849"/>
      <c r="E150" s="1849"/>
      <c r="F150" s="1849" t="str">
        <f>'Part I-Project Information'!F125</f>
        <v>The Crest at Hastings</v>
      </c>
      <c r="G150" s="1849"/>
      <c r="H150" s="1849"/>
      <c r="I150" s="2074" t="str">
        <f>'Part I-Project Information'!I125</f>
        <v>Direct</v>
      </c>
      <c r="J150" s="1849" t="str">
        <f>'Part I-Project Information'!J125</f>
        <v>7 Nat'l Afford Housing Preserve Assoc Inc.</v>
      </c>
      <c r="K150" s="1849"/>
      <c r="L150" s="1849"/>
      <c r="M150" s="1849" t="str">
        <f>'Part I-Project Information'!M125</f>
        <v>The Pointe at St. Martin</v>
      </c>
      <c r="N150" s="1849"/>
      <c r="O150" s="1849"/>
      <c r="P150" s="2074" t="str">
        <f>'Part I-Project Information'!P125</f>
        <v>Indirect</v>
      </c>
      <c r="Q150" s="1819"/>
      <c r="R150" s="1819"/>
      <c r="S150" s="1819"/>
      <c r="T150" s="1819"/>
      <c r="U150" s="1819"/>
    </row>
    <row r="151" spans="1:21" ht="13.8">
      <c r="A151" s="1821"/>
      <c r="B151" s="1821"/>
      <c r="C151" s="1849" t="str">
        <f>'Part I-Project Information'!C126</f>
        <v>2 NAHPA 2018 GA, Inc.</v>
      </c>
      <c r="D151" s="1849"/>
      <c r="E151" s="1849"/>
      <c r="F151" s="1849" t="str">
        <f>'Part I-Project Information'!F126</f>
        <v>The Crest at Hastings</v>
      </c>
      <c r="G151" s="1849"/>
      <c r="H151" s="1849"/>
      <c r="I151" s="2074" t="str">
        <f>'Part I-Project Information'!I126</f>
        <v>Direct</v>
      </c>
      <c r="J151" s="1849" t="str">
        <f>'Part I-Project Information'!J126</f>
        <v>8 NAHPA Development, LLC</v>
      </c>
      <c r="K151" s="1849"/>
      <c r="L151" s="1849"/>
      <c r="M151" s="1849" t="str">
        <f>'Part I-Project Information'!M126</f>
        <v>The Pointe at St. Martin</v>
      </c>
      <c r="N151" s="1849"/>
      <c r="O151" s="1849"/>
      <c r="P151" s="2074" t="str">
        <f>'Part I-Project Information'!P126</f>
        <v>Indirect</v>
      </c>
      <c r="Q151" s="1819"/>
      <c r="R151" s="1819"/>
      <c r="S151" s="1819"/>
      <c r="T151" s="1819"/>
      <c r="U151" s="1819"/>
    </row>
    <row r="152" spans="1:21" ht="13.8">
      <c r="A152" s="1821"/>
      <c r="B152" s="1821"/>
      <c r="C152" s="1849" t="str">
        <f>'Part I-Project Information'!C127</f>
        <v>3 Nat'l Afford Housing Preserve Assoc Inc.</v>
      </c>
      <c r="D152" s="1849"/>
      <c r="E152" s="1849"/>
      <c r="F152" s="1849" t="str">
        <f>'Part I-Project Information'!F127</f>
        <v>The Crest at Hastings</v>
      </c>
      <c r="G152" s="1849"/>
      <c r="H152" s="1849"/>
      <c r="I152" s="2074" t="str">
        <f>'Part I-Project Information'!I127</f>
        <v>Indirect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4 NAHPA Development, LLC</v>
      </c>
      <c r="D153" s="1849"/>
      <c r="E153" s="1849"/>
      <c r="F153" s="1849" t="str">
        <f>'Part I-Project Information'!F128</f>
        <v>The Crest at Hastings</v>
      </c>
      <c r="G153" s="1849"/>
      <c r="H153" s="1849"/>
      <c r="I153" s="2074" t="str">
        <f>'Part I-Project Information'!I128</f>
        <v>Indirect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5 The Pointe at St. Martin, LP</v>
      </c>
      <c r="D154" s="1849"/>
      <c r="E154" s="1849"/>
      <c r="F154" s="1849" t="str">
        <f>'Part I-Project Information'!F129</f>
        <v>The Pointe at St. Martin</v>
      </c>
      <c r="G154" s="1849"/>
      <c r="H154" s="1849"/>
      <c r="I154" s="2074" t="str">
        <f>'Part I-Project Information'!I129</f>
        <v>Direct</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6 NAHPA 2018 GA, Inc.</v>
      </c>
      <c r="D155" s="1849"/>
      <c r="E155" s="1849"/>
      <c r="F155" s="1849" t="str">
        <f>'Part I-Project Information'!F130</f>
        <v>The Pointe at St. Martin</v>
      </c>
      <c r="G155" s="1849"/>
      <c r="H155" s="1849"/>
      <c r="I155" s="2074" t="str">
        <f>'Part I-Project Information'!I130</f>
        <v>Direct</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t="str">
        <f>'Part I-Project Information'!I148</f>
        <v>No</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6919</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6920</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4273</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t="str">
        <f>'Part I-Project Information'!I170</f>
        <v>No</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2041</v>
      </c>
      <c r="M196" s="1819" t="s">
        <v>2267</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2746</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3362</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 xml:space="preserve">     Owner commits to the extension of the cancellation option for 5 years. We expect the placed in service date to be on or before 12/31/2022.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2020-091 The Pointe at St. Martin,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The Pointe at St. Martin</v>
      </c>
      <c r="I226" s="1827"/>
      <c r="J226" s="1827"/>
      <c r="K226" s="1827"/>
      <c r="L226" s="1827"/>
      <c r="M226" s="1827"/>
      <c r="N226" s="1827"/>
      <c r="O226" s="1823" t="s">
        <v>1942</v>
      </c>
      <c r="P226" s="1823"/>
      <c r="Q226" s="1819" t="str">
        <f>'Part II-Development Team'!Q5</f>
        <v>Mark E. English</v>
      </c>
      <c r="R226" s="1827"/>
      <c r="S226" s="1827"/>
    </row>
    <row r="227" spans="1:19" ht="13.8">
      <c r="A227" s="1819"/>
      <c r="B227" s="1819"/>
      <c r="C227" s="1819"/>
      <c r="D227" s="1831"/>
      <c r="E227" s="1823" t="s">
        <v>999</v>
      </c>
      <c r="F227" s="1826"/>
      <c r="G227" s="1819"/>
      <c r="H227" s="1819" t="str">
        <f>'Part II-Development Team'!H6</f>
        <v>100 Towncenter Blvd. Suite 300</v>
      </c>
      <c r="I227" s="1827"/>
      <c r="J227" s="1827"/>
      <c r="K227" s="1827"/>
      <c r="L227" s="1827"/>
      <c r="M227" s="1827"/>
      <c r="N227" s="1827"/>
      <c r="O227" s="1823" t="s">
        <v>1704</v>
      </c>
      <c r="P227" s="1819"/>
      <c r="Q227" s="1819" t="str">
        <f>'Part II-Development Team'!Q6</f>
        <v>President of GP</v>
      </c>
      <c r="R227" s="1827"/>
      <c r="S227" s="1827"/>
    </row>
    <row r="228" spans="1:19" ht="13.8">
      <c r="A228" s="1819"/>
      <c r="B228" s="1819"/>
      <c r="C228" s="1819"/>
      <c r="D228" s="1831"/>
      <c r="E228" s="1823" t="s">
        <v>600</v>
      </c>
      <c r="F228" s="1819"/>
      <c r="G228" s="1819"/>
      <c r="H228" s="1819" t="str">
        <f>'Part II-Development Team'!H7</f>
        <v>Tuscaloosa</v>
      </c>
      <c r="I228" s="1827"/>
      <c r="J228" s="1827"/>
      <c r="K228" s="1821" t="s">
        <v>744</v>
      </c>
      <c r="L228" s="1819" t="str">
        <f>'Part II-Development Team'!L7</f>
        <v>To Be Applied For</v>
      </c>
      <c r="M228" s="1827"/>
      <c r="N228" s="1827"/>
      <c r="O228" s="1823" t="s">
        <v>1679</v>
      </c>
      <c r="P228" s="1819"/>
      <c r="Q228" s="2188">
        <f>'Part II-Development Team'!Q7</f>
        <v>2057229331</v>
      </c>
      <c r="R228" s="2188"/>
      <c r="S228" s="2188"/>
    </row>
    <row r="229" spans="1:19" ht="13.8">
      <c r="A229" s="1819"/>
      <c r="B229" s="1819"/>
      <c r="C229" s="1819"/>
      <c r="D229" s="1831"/>
      <c r="E229" s="1823" t="s">
        <v>1754</v>
      </c>
      <c r="F229" s="1819"/>
      <c r="G229" s="1819"/>
      <c r="H229" s="1823" t="str">
        <f>'Part II-Development Team'!H8</f>
        <v>AL</v>
      </c>
      <c r="I229" s="1821" t="s">
        <v>2173</v>
      </c>
      <c r="J229" s="2187">
        <f>'Part II-Development Team'!J8</f>
        <v>354061835</v>
      </c>
      <c r="K229" s="1827"/>
      <c r="L229" s="1819" t="s">
        <v>3510</v>
      </c>
      <c r="M229" s="1819" t="str">
        <f>'Part II-Development Team'!M8</f>
        <v>For Profit</v>
      </c>
      <c r="N229" s="1819"/>
      <c r="O229" s="1823" t="s">
        <v>1932</v>
      </c>
      <c r="P229" s="1819"/>
      <c r="Q229" s="2188">
        <f>'Part II-Development Team'!Q8</f>
        <v>2053948000</v>
      </c>
      <c r="R229" s="2188"/>
      <c r="S229" s="2188"/>
    </row>
    <row r="230" spans="1:19" ht="13.8">
      <c r="A230" s="1819"/>
      <c r="B230" s="1819"/>
      <c r="C230" s="1819"/>
      <c r="D230" s="1831"/>
      <c r="E230" s="1823" t="s">
        <v>3895</v>
      </c>
      <c r="F230" s="1819"/>
      <c r="G230" s="1819"/>
      <c r="H230" s="2188">
        <f>'Part II-Development Team'!H9</f>
        <v>2057229331</v>
      </c>
      <c r="I230" s="2188"/>
      <c r="J230" s="1829">
        <f>'Part II-Development Team'!J9</f>
        <v>0</v>
      </c>
      <c r="K230" s="1821" t="s">
        <v>1937</v>
      </c>
      <c r="L230" s="1965" t="str">
        <f>'Part II-Development Team'!L9</f>
        <v>mark@nahpa.org</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NAHPA 2018 GA, Inc.</v>
      </c>
      <c r="I235" s="1827"/>
      <c r="J235" s="1827"/>
      <c r="K235" s="1827"/>
      <c r="L235" s="1827"/>
      <c r="M235" s="1827"/>
      <c r="N235" s="1827"/>
      <c r="O235" s="1823" t="s">
        <v>1942</v>
      </c>
      <c r="P235" s="1823"/>
      <c r="Q235" s="1819" t="str">
        <f>'Part II-Development Team'!Q14</f>
        <v>Mark E. English</v>
      </c>
      <c r="R235" s="1827"/>
      <c r="S235" s="1827"/>
    </row>
    <row r="236" spans="1:19" ht="13.8">
      <c r="A236" s="1819"/>
      <c r="B236" s="1819"/>
      <c r="C236" s="1819"/>
      <c r="D236" s="1831"/>
      <c r="E236" s="1823" t="s">
        <v>999</v>
      </c>
      <c r="F236" s="1826"/>
      <c r="G236" s="1819"/>
      <c r="H236" s="1819" t="str">
        <f>'Part II-Development Team'!H15</f>
        <v>100 Towncenter Blvd. Suite 300</v>
      </c>
      <c r="I236" s="1827"/>
      <c r="J236" s="1827"/>
      <c r="K236" s="1827"/>
      <c r="L236" s="1827"/>
      <c r="M236" s="1827"/>
      <c r="N236" s="1827"/>
      <c r="O236" s="1823" t="s">
        <v>1704</v>
      </c>
      <c r="P236" s="1819"/>
      <c r="Q236" s="1819" t="str">
        <f>'Part II-Development Team'!Q15</f>
        <v>President</v>
      </c>
      <c r="R236" s="1827"/>
      <c r="S236" s="1827"/>
    </row>
    <row r="237" spans="1:19" ht="13.8">
      <c r="A237" s="1819"/>
      <c r="B237" s="1819"/>
      <c r="C237" s="1819"/>
      <c r="D237" s="1831"/>
      <c r="E237" s="1823" t="s">
        <v>600</v>
      </c>
      <c r="F237" s="1819"/>
      <c r="G237" s="1819"/>
      <c r="H237" s="1819" t="str">
        <f>'Part II-Development Team'!H16</f>
        <v>Tuscaloosa</v>
      </c>
      <c r="I237" s="1827"/>
      <c r="J237" s="1827"/>
      <c r="K237" s="1821" t="s">
        <v>2625</v>
      </c>
      <c r="L237" s="1819" t="str">
        <f>'Part II-Development Team'!L16</f>
        <v>N/A</v>
      </c>
      <c r="M237" s="1827"/>
      <c r="N237" s="1827"/>
      <c r="O237" s="1823" t="s">
        <v>1679</v>
      </c>
      <c r="P237" s="1819"/>
      <c r="Q237" s="2188">
        <f>'Part II-Development Team'!Q16</f>
        <v>2057229331</v>
      </c>
      <c r="R237" s="2188"/>
      <c r="S237" s="2188"/>
    </row>
    <row r="238" spans="1:19" ht="13.8">
      <c r="A238" s="1819"/>
      <c r="B238" s="1819"/>
      <c r="C238" s="1819"/>
      <c r="D238" s="1819"/>
      <c r="E238" s="1823" t="s">
        <v>1754</v>
      </c>
      <c r="F238" s="1819"/>
      <c r="G238" s="1819"/>
      <c r="H238" s="1823" t="str">
        <f>'Part II-Development Team'!H17</f>
        <v>AL</v>
      </c>
      <c r="I238" s="1819"/>
      <c r="J238" s="1819"/>
      <c r="K238" s="1821" t="s">
        <v>2173</v>
      </c>
      <c r="L238" s="2187">
        <f>'Part II-Development Team'!L17</f>
        <v>354061835</v>
      </c>
      <c r="M238" s="1827"/>
      <c r="N238" s="1819"/>
      <c r="O238" s="1823" t="s">
        <v>1932</v>
      </c>
      <c r="P238" s="1819"/>
      <c r="Q238" s="2188">
        <f>'Part II-Development Team'!Q17</f>
        <v>2053948000</v>
      </c>
      <c r="R238" s="2188"/>
      <c r="S238" s="2188"/>
    </row>
    <row r="239" spans="1:19" ht="13.8">
      <c r="A239" s="1819"/>
      <c r="B239" s="1819"/>
      <c r="C239" s="1819"/>
      <c r="D239" s="1831"/>
      <c r="E239" s="1823" t="s">
        <v>3895</v>
      </c>
      <c r="F239" s="1819"/>
      <c r="G239" s="1819"/>
      <c r="H239" s="2188">
        <f>'Part II-Development Team'!H18</f>
        <v>2057229331</v>
      </c>
      <c r="I239" s="2188"/>
      <c r="J239" s="1829">
        <f>'Part II-Development Team'!J18</f>
        <v>0</v>
      </c>
      <c r="K239" s="1821" t="s">
        <v>1937</v>
      </c>
      <c r="L239" s="1965" t="str">
        <f>'Part II-Development Team'!L18</f>
        <v>mark@nahpa.org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To Be Determined - 42 Equity Partners, LLC</v>
      </c>
      <c r="I254" s="1827"/>
      <c r="J254" s="1827"/>
      <c r="K254" s="1827"/>
      <c r="L254" s="1827"/>
      <c r="M254" s="1827"/>
      <c r="N254" s="1827"/>
      <c r="O254" s="1823" t="s">
        <v>1942</v>
      </c>
      <c r="P254" s="1823"/>
      <c r="Q254" s="1819" t="str">
        <f>'Part II-Development Team'!Q33</f>
        <v>Constantine Chigounis</v>
      </c>
      <c r="R254" s="1827"/>
      <c r="S254" s="1827"/>
    </row>
    <row r="255" spans="1:19" ht="13.8">
      <c r="A255" s="1819"/>
      <c r="B255" s="1819"/>
      <c r="C255" s="1819"/>
      <c r="D255" s="1831"/>
      <c r="E255" s="1823" t="s">
        <v>999</v>
      </c>
      <c r="F255" s="1826"/>
      <c r="G255" s="1819"/>
      <c r="H255" s="1819" t="str">
        <f>'Part II-Development Team'!H34</f>
        <v>2660 EastChase Lane, Suite 100</v>
      </c>
      <c r="I255" s="1827"/>
      <c r="J255" s="1827"/>
      <c r="K255" s="1827"/>
      <c r="L255" s="1827"/>
      <c r="M255" s="1827"/>
      <c r="N255" s="1827"/>
      <c r="O255" s="1823" t="s">
        <v>1704</v>
      </c>
      <c r="P255" s="1819"/>
      <c r="Q255" s="1819" t="str">
        <f>'Part II-Development Team'!Q34</f>
        <v>Managing Director</v>
      </c>
      <c r="R255" s="1827"/>
      <c r="S255" s="1827"/>
    </row>
    <row r="256" spans="1:19" ht="13.8">
      <c r="A256" s="1819"/>
      <c r="B256" s="1819"/>
      <c r="C256" s="1819"/>
      <c r="D256" s="1831"/>
      <c r="E256" s="1823" t="s">
        <v>600</v>
      </c>
      <c r="F256" s="1819"/>
      <c r="G256" s="1819"/>
      <c r="H256" s="1819" t="str">
        <f>'Part II-Development Team'!H35</f>
        <v>Montgomery</v>
      </c>
      <c r="I256" s="1827"/>
      <c r="J256" s="1827"/>
      <c r="K256" s="1821" t="s">
        <v>2625</v>
      </c>
      <c r="L256" s="1819">
        <f>'Part II-Development Team'!L35</f>
        <v>0</v>
      </c>
      <c r="M256" s="1827"/>
      <c r="N256" s="1827"/>
      <c r="O256" s="1823" t="s">
        <v>1679</v>
      </c>
      <c r="P256" s="1819"/>
      <c r="Q256" s="2188">
        <f>'Part II-Development Team'!Q35</f>
        <v>2122042486</v>
      </c>
      <c r="R256" s="2188"/>
      <c r="S256" s="2188"/>
    </row>
    <row r="257" spans="1:19" ht="13.8">
      <c r="A257" s="1819"/>
      <c r="B257" s="1819"/>
      <c r="C257" s="1819"/>
      <c r="D257" s="1819"/>
      <c r="E257" s="1823" t="s">
        <v>1754</v>
      </c>
      <c r="F257" s="1819"/>
      <c r="G257" s="1819"/>
      <c r="H257" s="1823" t="str">
        <f>'Part II-Development Team'!H36</f>
        <v>AL</v>
      </c>
      <c r="I257" s="1819"/>
      <c r="J257" s="1819"/>
      <c r="K257" s="1821" t="s">
        <v>2173</v>
      </c>
      <c r="L257" s="2187">
        <f>'Part II-Development Team'!L36</f>
        <v>361177024</v>
      </c>
      <c r="M257" s="1827"/>
      <c r="N257" s="1819"/>
      <c r="O257" s="1823" t="s">
        <v>1932</v>
      </c>
      <c r="P257" s="1819"/>
      <c r="Q257" s="2188">
        <f>'Part II-Development Team'!Q36</f>
        <v>5166620267</v>
      </c>
      <c r="R257" s="2188"/>
      <c r="S257" s="2188"/>
    </row>
    <row r="258" spans="1:19" ht="13.8">
      <c r="A258" s="1819"/>
      <c r="B258" s="1819"/>
      <c r="C258" s="1819"/>
      <c r="D258" s="1831"/>
      <c r="E258" s="1823" t="s">
        <v>3895</v>
      </c>
      <c r="F258" s="1819"/>
      <c r="G258" s="1819"/>
      <c r="H258" s="2188">
        <f>'Part II-Development Team'!H37</f>
        <v>5166620267</v>
      </c>
      <c r="I258" s="2188"/>
      <c r="J258" s="1829">
        <f>'Part II-Development Team'!J37</f>
        <v>0</v>
      </c>
      <c r="K258" s="1821" t="s">
        <v>1937</v>
      </c>
      <c r="L258" s="1965" t="str">
        <f>'Part II-Development Team'!L37</f>
        <v>c.chigounis@42equity.com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To Be Determined - Monarch Private Capital, LLC</v>
      </c>
      <c r="I260" s="1827"/>
      <c r="J260" s="1827"/>
      <c r="K260" s="1827"/>
      <c r="L260" s="1827"/>
      <c r="M260" s="1827"/>
      <c r="N260" s="1827"/>
      <c r="O260" s="1823" t="s">
        <v>1942</v>
      </c>
      <c r="P260" s="1823"/>
      <c r="Q260" s="1819" t="str">
        <f>'Part II-Development Team'!Q39</f>
        <v>Brent Hannah</v>
      </c>
      <c r="R260" s="1827"/>
      <c r="S260" s="1827"/>
    </row>
    <row r="261" spans="1:19" ht="13.8">
      <c r="A261" s="1819"/>
      <c r="B261" s="1819"/>
      <c r="C261" s="1819"/>
      <c r="D261" s="1831"/>
      <c r="E261" s="1823" t="s">
        <v>999</v>
      </c>
      <c r="F261" s="1826"/>
      <c r="G261" s="1819"/>
      <c r="H261" s="1819" t="str">
        <f>'Part II-Development Team'!H40</f>
        <v>3414 Peachtree Road, Suite 825</v>
      </c>
      <c r="I261" s="1827"/>
      <c r="J261" s="1827"/>
      <c r="K261" s="1827"/>
      <c r="L261" s="1827"/>
      <c r="M261" s="1827"/>
      <c r="N261" s="1827"/>
      <c r="O261" s="1823" t="s">
        <v>1704</v>
      </c>
      <c r="P261" s="1819"/>
      <c r="Q261" s="1819" t="str">
        <f>'Part II-Development Team'!Q40</f>
        <v>Director of Acquisitions</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www.monarchprivate.com</v>
      </c>
      <c r="M262" s="1827"/>
      <c r="N262" s="1827"/>
      <c r="O262" s="1823" t="s">
        <v>1679</v>
      </c>
      <c r="P262" s="1819"/>
      <c r="Q262" s="2188">
        <f>'Part II-Development Team'!Q41</f>
        <v>3143290400</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303261153</v>
      </c>
      <c r="M263" s="1827"/>
      <c r="N263" s="1819"/>
      <c r="O263" s="1823" t="s">
        <v>1932</v>
      </c>
      <c r="P263" s="1819"/>
      <c r="Q263" s="2188">
        <f>'Part II-Development Team'!Q42</f>
        <v>8169145367</v>
      </c>
      <c r="R263" s="2188"/>
      <c r="S263" s="2188"/>
    </row>
    <row r="264" spans="1:19" ht="13.8">
      <c r="A264" s="1819"/>
      <c r="B264" s="1819"/>
      <c r="C264" s="1819"/>
      <c r="D264" s="1831"/>
      <c r="E264" s="1823" t="s">
        <v>3895</v>
      </c>
      <c r="F264" s="1819"/>
      <c r="G264" s="1819"/>
      <c r="H264" s="2188">
        <f>'Part II-Development Team'!H43</f>
        <v>3143290400</v>
      </c>
      <c r="I264" s="2188"/>
      <c r="J264" s="1829">
        <f>'Part II-Development Team'!J43</f>
        <v>0</v>
      </c>
      <c r="K264" s="1821" t="s">
        <v>1937</v>
      </c>
      <c r="L264" s="1965" t="str">
        <f>'Part II-Development Team'!L43</f>
        <v>bhannah@monarchprivate.com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National Affordable Housing Preservation Associates, Inc. (NAHPA, Inc.)</v>
      </c>
      <c r="I267" s="1827"/>
      <c r="J267" s="1827"/>
      <c r="K267" s="1827"/>
      <c r="L267" s="1827"/>
      <c r="M267" s="1827"/>
      <c r="N267" s="1827"/>
      <c r="O267" s="1823" t="s">
        <v>1942</v>
      </c>
      <c r="P267" s="1823"/>
      <c r="Q267" s="1819" t="str">
        <f>'Part II-Development Team'!Q46</f>
        <v>Mark E. English</v>
      </c>
      <c r="R267" s="1827"/>
      <c r="S267" s="1827"/>
    </row>
    <row r="268" spans="1:19" ht="13.8">
      <c r="A268" s="1819"/>
      <c r="B268" s="1819"/>
      <c r="C268" s="1819"/>
      <c r="D268" s="1831"/>
      <c r="E268" s="1823" t="s">
        <v>999</v>
      </c>
      <c r="F268" s="1826"/>
      <c r="G268" s="1819"/>
      <c r="H268" s="1819" t="str">
        <f>'Part II-Development Team'!H47</f>
        <v>100 Towncenter Blvd. Suite 300</v>
      </c>
      <c r="I268" s="1827"/>
      <c r="J268" s="1827"/>
      <c r="K268" s="1827"/>
      <c r="L268" s="1827"/>
      <c r="M268" s="1827"/>
      <c r="N268" s="1827"/>
      <c r="O268" s="1823" t="s">
        <v>1704</v>
      </c>
      <c r="P268" s="1819"/>
      <c r="Q268" s="1819" t="str">
        <f>'Part II-Development Team'!Q47</f>
        <v>President</v>
      </c>
      <c r="R268" s="1827"/>
      <c r="S268" s="1827"/>
    </row>
    <row r="269" spans="1:19" ht="13.8">
      <c r="A269" s="1819"/>
      <c r="B269" s="1819"/>
      <c r="C269" s="1819"/>
      <c r="D269" s="1831"/>
      <c r="E269" s="1823" t="s">
        <v>600</v>
      </c>
      <c r="F269" s="1819"/>
      <c r="G269" s="1819"/>
      <c r="H269" s="1819" t="str">
        <f>'Part II-Development Team'!H48</f>
        <v>Tuscaloosa</v>
      </c>
      <c r="I269" s="1827"/>
      <c r="J269" s="1827"/>
      <c r="K269" s="1821" t="s">
        <v>2625</v>
      </c>
      <c r="L269" s="1819" t="str">
        <f>'Part II-Development Team'!L48</f>
        <v>www.nahpa.org</v>
      </c>
      <c r="M269" s="1827"/>
      <c r="N269" s="1827"/>
      <c r="O269" s="1823" t="s">
        <v>1679</v>
      </c>
      <c r="P269" s="1819"/>
      <c r="Q269" s="2188">
        <f>'Part II-Development Team'!Q48</f>
        <v>2057229331</v>
      </c>
      <c r="R269" s="2188"/>
      <c r="S269" s="2188"/>
    </row>
    <row r="270" spans="1:19" ht="13.8">
      <c r="A270" s="1819"/>
      <c r="B270" s="1819"/>
      <c r="C270" s="1819"/>
      <c r="D270" s="1819"/>
      <c r="E270" s="1823" t="s">
        <v>1754</v>
      </c>
      <c r="F270" s="1819"/>
      <c r="G270" s="1819"/>
      <c r="H270" s="1823" t="str">
        <f>'Part II-Development Team'!H49</f>
        <v>AL</v>
      </c>
      <c r="I270" s="1819"/>
      <c r="J270" s="1819"/>
      <c r="K270" s="1821" t="s">
        <v>2173</v>
      </c>
      <c r="L270" s="2187">
        <f>'Part II-Development Team'!L49</f>
        <v>354061835</v>
      </c>
      <c r="M270" s="1827"/>
      <c r="N270" s="1819"/>
      <c r="O270" s="1823" t="s">
        <v>1932</v>
      </c>
      <c r="P270" s="1819"/>
      <c r="Q270" s="2188">
        <f>'Part II-Development Team'!Q49</f>
        <v>2053948000</v>
      </c>
      <c r="R270" s="2188"/>
      <c r="S270" s="2188"/>
    </row>
    <row r="271" spans="1:19" ht="13.8">
      <c r="A271" s="1819"/>
      <c r="B271" s="1819"/>
      <c r="C271" s="1819"/>
      <c r="D271" s="1831"/>
      <c r="E271" s="1823" t="s">
        <v>3895</v>
      </c>
      <c r="F271" s="1819"/>
      <c r="G271" s="1819"/>
      <c r="H271" s="2188">
        <f>'Part II-Development Team'!H50</f>
        <v>2057229331</v>
      </c>
      <c r="I271" s="2188"/>
      <c r="J271" s="1829">
        <f>'Part II-Development Team'!J50</f>
        <v>0</v>
      </c>
      <c r="K271" s="1821" t="s">
        <v>1937</v>
      </c>
      <c r="L271" s="1965" t="str">
        <f>'Part II-Development Team'!L50</f>
        <v>mark@nahpa.org</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Vantage Development, LLC</v>
      </c>
      <c r="I275" s="1827"/>
      <c r="J275" s="1827"/>
      <c r="K275" s="1827"/>
      <c r="L275" s="1827"/>
      <c r="M275" s="1827"/>
      <c r="N275" s="1827"/>
      <c r="O275" s="1823" t="s">
        <v>1942</v>
      </c>
      <c r="P275" s="1823"/>
      <c r="Q275" s="1819" t="str">
        <f>'Part II-Development Team'!Q54</f>
        <v>Lowell R. Barron II</v>
      </c>
      <c r="R275" s="1827"/>
      <c r="S275" s="1827"/>
    </row>
    <row r="276" spans="1:19" ht="13.8">
      <c r="A276" s="1819"/>
      <c r="B276" s="1819"/>
      <c r="C276" s="1819"/>
      <c r="D276" s="1831"/>
      <c r="E276" s="1823" t="s">
        <v>999</v>
      </c>
      <c r="F276" s="1826"/>
      <c r="G276" s="1819"/>
      <c r="H276" s="1819" t="str">
        <f>'Part II-Development Team'!H55</f>
        <v>1544 S. Main Street</v>
      </c>
      <c r="I276" s="1827"/>
      <c r="J276" s="1827"/>
      <c r="K276" s="1827"/>
      <c r="L276" s="1827"/>
      <c r="M276" s="1827"/>
      <c r="N276" s="1827"/>
      <c r="O276" s="1823" t="s">
        <v>1704</v>
      </c>
      <c r="P276" s="1819"/>
      <c r="Q276" s="1819" t="str">
        <f>'Part II-Development Team'!Q55</f>
        <v>President of GP</v>
      </c>
      <c r="R276" s="1827"/>
      <c r="S276" s="1827"/>
    </row>
    <row r="277" spans="1:19" ht="13.8">
      <c r="A277" s="1819"/>
      <c r="B277" s="1819"/>
      <c r="C277" s="1819"/>
      <c r="D277" s="1831"/>
      <c r="E277" s="1823" t="s">
        <v>600</v>
      </c>
      <c r="F277" s="1819"/>
      <c r="G277" s="1819"/>
      <c r="H277" s="1819" t="str">
        <f>'Part II-Development Team'!H56</f>
        <v>Fyffe</v>
      </c>
      <c r="I277" s="1827"/>
      <c r="J277" s="1827"/>
      <c r="K277" s="1821" t="s">
        <v>2625</v>
      </c>
      <c r="L277" s="1819" t="str">
        <f>'Part II-Development Team'!L56</f>
        <v>www.thevantagegroup.biz</v>
      </c>
      <c r="M277" s="1827"/>
      <c r="N277" s="1827"/>
      <c r="O277" s="1823" t="s">
        <v>1679</v>
      </c>
      <c r="P277" s="1819"/>
      <c r="Q277" s="2188">
        <f>'Part II-Development Team'!Q56</f>
        <v>2569976659</v>
      </c>
      <c r="R277" s="2188"/>
      <c r="S277" s="2188"/>
    </row>
    <row r="278" spans="1:19" ht="13.8">
      <c r="A278" s="1819"/>
      <c r="B278" s="1819"/>
      <c r="C278" s="1819"/>
      <c r="D278" s="1819"/>
      <c r="E278" s="1823" t="s">
        <v>1754</v>
      </c>
      <c r="F278" s="1819"/>
      <c r="G278" s="1819"/>
      <c r="H278" s="1823" t="str">
        <f>'Part II-Development Team'!H57</f>
        <v>AL</v>
      </c>
      <c r="I278" s="1819"/>
      <c r="J278" s="1819"/>
      <c r="K278" s="1821" t="s">
        <v>2173</v>
      </c>
      <c r="L278" s="2187">
        <f>'Part II-Development Team'!L57</f>
        <v>359713484</v>
      </c>
      <c r="M278" s="1827"/>
      <c r="N278" s="1819"/>
      <c r="O278" s="1823" t="s">
        <v>1932</v>
      </c>
      <c r="P278" s="1819"/>
      <c r="Q278" s="2188">
        <f>'Part II-Development Team'!Q57</f>
        <v>2569976659</v>
      </c>
      <c r="R278" s="2188"/>
      <c r="S278" s="2188"/>
    </row>
    <row r="279" spans="1:19" ht="13.8">
      <c r="A279" s="1819"/>
      <c r="B279" s="1819"/>
      <c r="C279" s="1819"/>
      <c r="D279" s="1831"/>
      <c r="E279" s="1823" t="s">
        <v>3895</v>
      </c>
      <c r="F279" s="1819"/>
      <c r="G279" s="1819"/>
      <c r="H279" s="2188">
        <f>'Part II-Development Team'!H58</f>
        <v>2564174920</v>
      </c>
      <c r="I279" s="2188"/>
      <c r="J279" s="1829">
        <f>'Part II-Development Team'!J58</f>
        <v>295</v>
      </c>
      <c r="K279" s="1821" t="s">
        <v>1937</v>
      </c>
      <c r="L279" s="1965" t="str">
        <f>'Part II-Development Team'!L58</f>
        <v>lbarron@thevantagegroup.biz</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NAHPA Development, LLC</v>
      </c>
      <c r="I281" s="1827"/>
      <c r="J281" s="1827"/>
      <c r="K281" s="1827"/>
      <c r="L281" s="1827"/>
      <c r="M281" s="1827"/>
      <c r="N281" s="1827"/>
      <c r="O281" s="1823" t="s">
        <v>1942</v>
      </c>
      <c r="P281" s="1823"/>
      <c r="Q281" s="1819" t="str">
        <f>'Part II-Development Team'!Q60</f>
        <v>Mark E. English</v>
      </c>
      <c r="R281" s="1827"/>
      <c r="S281" s="1827"/>
    </row>
    <row r="282" spans="1:19" ht="13.8">
      <c r="A282" s="1819"/>
      <c r="B282" s="1819"/>
      <c r="C282" s="1819"/>
      <c r="D282" s="1831"/>
      <c r="E282" s="1823" t="s">
        <v>999</v>
      </c>
      <c r="F282" s="1826"/>
      <c r="G282" s="1819"/>
      <c r="H282" s="1819" t="str">
        <f>'Part II-Development Team'!H61</f>
        <v>100 Towncenter Blvd. Suite 300</v>
      </c>
      <c r="I282" s="1827"/>
      <c r="J282" s="1827"/>
      <c r="K282" s="1827"/>
      <c r="L282" s="1827"/>
      <c r="M282" s="1827"/>
      <c r="N282" s="1827"/>
      <c r="O282" s="1823" t="s">
        <v>1704</v>
      </c>
      <c r="P282" s="1819"/>
      <c r="Q282" s="1819" t="str">
        <f>'Part II-Development Team'!Q61</f>
        <v>President</v>
      </c>
      <c r="R282" s="1827"/>
      <c r="S282" s="1827"/>
    </row>
    <row r="283" spans="1:19" ht="13.8">
      <c r="A283" s="1819"/>
      <c r="B283" s="1819"/>
      <c r="C283" s="1819"/>
      <c r="D283" s="1831"/>
      <c r="E283" s="1823" t="s">
        <v>600</v>
      </c>
      <c r="F283" s="1819"/>
      <c r="G283" s="1819"/>
      <c r="H283" s="1819" t="str">
        <f>'Part II-Development Team'!H62</f>
        <v>Tuscaloosa</v>
      </c>
      <c r="I283" s="1827"/>
      <c r="J283" s="1827"/>
      <c r="K283" s="1821" t="s">
        <v>2625</v>
      </c>
      <c r="L283" s="1819" t="str">
        <f>'Part II-Development Team'!L62</f>
        <v>www.nahpa.org</v>
      </c>
      <c r="M283" s="1827"/>
      <c r="N283" s="1827"/>
      <c r="O283" s="1823" t="s">
        <v>1679</v>
      </c>
      <c r="P283" s="1819"/>
      <c r="Q283" s="2188">
        <f>'Part II-Development Team'!Q62</f>
        <v>2057229331</v>
      </c>
      <c r="R283" s="2188"/>
      <c r="S283" s="2188"/>
    </row>
    <row r="284" spans="1:19" ht="13.8">
      <c r="A284" s="1819"/>
      <c r="B284" s="1819"/>
      <c r="C284" s="1819"/>
      <c r="D284" s="1819"/>
      <c r="E284" s="1823" t="s">
        <v>1754</v>
      </c>
      <c r="F284" s="1819"/>
      <c r="G284" s="1819"/>
      <c r="H284" s="1823" t="str">
        <f>'Part II-Development Team'!H63</f>
        <v>AL</v>
      </c>
      <c r="I284" s="1819"/>
      <c r="J284" s="1819"/>
      <c r="K284" s="1821" t="s">
        <v>2173</v>
      </c>
      <c r="L284" s="2187">
        <f>'Part II-Development Team'!L63</f>
        <v>354061835</v>
      </c>
      <c r="M284" s="1827"/>
      <c r="N284" s="1819"/>
      <c r="O284" s="1823" t="s">
        <v>1932</v>
      </c>
      <c r="P284" s="1819"/>
      <c r="Q284" s="2188">
        <f>'Part II-Development Team'!Q63</f>
        <v>2053948000</v>
      </c>
      <c r="R284" s="2188"/>
      <c r="S284" s="2188"/>
    </row>
    <row r="285" spans="1:19" ht="13.8">
      <c r="A285" s="1819"/>
      <c r="B285" s="1819"/>
      <c r="C285" s="1819"/>
      <c r="D285" s="1831"/>
      <c r="E285" s="1823" t="s">
        <v>3895</v>
      </c>
      <c r="F285" s="1819"/>
      <c r="G285" s="1819"/>
      <c r="H285" s="2188">
        <f>'Part II-Development Team'!H64</f>
        <v>2057229331</v>
      </c>
      <c r="I285" s="2188"/>
      <c r="J285" s="1829">
        <f>'Part II-Development Team'!J64</f>
        <v>0</v>
      </c>
      <c r="K285" s="1821" t="s">
        <v>1937</v>
      </c>
      <c r="L285" s="1965" t="str">
        <f>'Part II-Development Team'!L64</f>
        <v>mark@nahpa.org</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t="str">
        <f>'Part II-Development Team'!H72</f>
        <v>Vantage Development, LLC</v>
      </c>
      <c r="I293" s="1827"/>
      <c r="J293" s="1827"/>
      <c r="K293" s="1827"/>
      <c r="L293" s="1827"/>
      <c r="M293" s="1827"/>
      <c r="N293" s="1827"/>
      <c r="O293" s="1823" t="s">
        <v>1942</v>
      </c>
      <c r="P293" s="1823"/>
      <c r="Q293" s="1819" t="str">
        <f>'Part II-Development Team'!Q72</f>
        <v>Lowell R. Barron II</v>
      </c>
      <c r="R293" s="1827"/>
      <c r="S293" s="1827"/>
    </row>
    <row r="294" spans="1:19" ht="13.8">
      <c r="A294" s="1819"/>
      <c r="B294" s="1819"/>
      <c r="C294" s="1819"/>
      <c r="D294" s="1831"/>
      <c r="E294" s="1823" t="s">
        <v>999</v>
      </c>
      <c r="F294" s="1826"/>
      <c r="G294" s="1819"/>
      <c r="H294" s="1819" t="str">
        <f>'Part II-Development Team'!H73</f>
        <v>1544 S. Main Street</v>
      </c>
      <c r="I294" s="1827"/>
      <c r="J294" s="1827"/>
      <c r="K294" s="1827"/>
      <c r="L294" s="1827"/>
      <c r="M294" s="1827"/>
      <c r="N294" s="1827"/>
      <c r="O294" s="1823" t="s">
        <v>1704</v>
      </c>
      <c r="P294" s="1819"/>
      <c r="Q294" s="1819" t="str">
        <f>'Part II-Development Team'!Q73</f>
        <v>President</v>
      </c>
      <c r="R294" s="1827"/>
      <c r="S294" s="1827"/>
    </row>
    <row r="295" spans="1:19" ht="13.8">
      <c r="A295" s="1819"/>
      <c r="B295" s="1819"/>
      <c r="C295" s="1819"/>
      <c r="D295" s="1831"/>
      <c r="E295" s="1823" t="s">
        <v>600</v>
      </c>
      <c r="F295" s="1819"/>
      <c r="G295" s="1819"/>
      <c r="H295" s="1819" t="str">
        <f>'Part II-Development Team'!H74</f>
        <v>Fyffe</v>
      </c>
      <c r="I295" s="1827"/>
      <c r="J295" s="1827"/>
      <c r="K295" s="1821" t="s">
        <v>2625</v>
      </c>
      <c r="L295" s="1819" t="str">
        <f>'Part II-Development Team'!L74</f>
        <v>www.thevantagegroup.biz</v>
      </c>
      <c r="M295" s="1827"/>
      <c r="N295" s="1827"/>
      <c r="O295" s="1823" t="s">
        <v>1679</v>
      </c>
      <c r="P295" s="1819"/>
      <c r="Q295" s="2188">
        <f>'Part II-Development Team'!Q74</f>
        <v>2569976659</v>
      </c>
      <c r="R295" s="2188"/>
      <c r="S295" s="2188"/>
    </row>
    <row r="296" spans="1:19" ht="13.8">
      <c r="A296" s="1819"/>
      <c r="B296" s="1819"/>
      <c r="C296" s="1819"/>
      <c r="D296" s="1819"/>
      <c r="E296" s="1823" t="s">
        <v>1754</v>
      </c>
      <c r="F296" s="1819"/>
      <c r="G296" s="1819"/>
      <c r="H296" s="1823" t="str">
        <f>'Part II-Development Team'!H75</f>
        <v>AL</v>
      </c>
      <c r="I296" s="1819"/>
      <c r="J296" s="1819"/>
      <c r="K296" s="1821" t="s">
        <v>2173</v>
      </c>
      <c r="L296" s="2187">
        <f>'Part II-Development Team'!L75</f>
        <v>359713484</v>
      </c>
      <c r="M296" s="1827"/>
      <c r="N296" s="1819"/>
      <c r="O296" s="1823" t="s">
        <v>1932</v>
      </c>
      <c r="P296" s="1819"/>
      <c r="Q296" s="2188">
        <f>'Part II-Development Team'!Q75</f>
        <v>2569976659</v>
      </c>
      <c r="R296" s="2188"/>
      <c r="S296" s="2188"/>
    </row>
    <row r="297" spans="1:19" ht="13.8">
      <c r="A297" s="1819"/>
      <c r="B297" s="1819"/>
      <c r="C297" s="1819"/>
      <c r="D297" s="1831"/>
      <c r="E297" s="1823" t="s">
        <v>3895</v>
      </c>
      <c r="F297" s="1819"/>
      <c r="G297" s="1819"/>
      <c r="H297" s="2188">
        <f>'Part II-Development Team'!H76</f>
        <v>2564174920</v>
      </c>
      <c r="I297" s="2188"/>
      <c r="J297" s="1829">
        <f>'Part II-Development Team'!J76</f>
        <v>295</v>
      </c>
      <c r="K297" s="1821" t="s">
        <v>1937</v>
      </c>
      <c r="L297" s="1965" t="str">
        <f>'Part II-Development Team'!L76</f>
        <v>lbarron@thevantagegroup.biz</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Fyffe Construction Company, Inc.</v>
      </c>
      <c r="I307" s="1827"/>
      <c r="J307" s="1827"/>
      <c r="K307" s="1827"/>
      <c r="L307" s="1827"/>
      <c r="M307" s="1827"/>
      <c r="N307" s="1827"/>
      <c r="O307" s="1823" t="s">
        <v>1942</v>
      </c>
      <c r="P307" s="1823"/>
      <c r="Q307" s="1819" t="str">
        <f>'Part II-Development Team'!Q86</f>
        <v>Lowell R. Barron II</v>
      </c>
      <c r="R307" s="1827"/>
      <c r="S307" s="1827"/>
    </row>
    <row r="308" spans="1:19" ht="13.8">
      <c r="A308" s="1819"/>
      <c r="B308" s="1819"/>
      <c r="C308" s="1819"/>
      <c r="D308" s="1831"/>
      <c r="E308" s="1823" t="s">
        <v>999</v>
      </c>
      <c r="F308" s="1826"/>
      <c r="G308" s="1819"/>
      <c r="H308" s="1819" t="str">
        <f>'Part II-Development Team'!H87</f>
        <v>1544 S. Main Street</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 xml:space="preserve">Fyffe  </v>
      </c>
      <c r="I309" s="1827"/>
      <c r="J309" s="1827"/>
      <c r="K309" s="1821" t="s">
        <v>2625</v>
      </c>
      <c r="L309" s="1819" t="str">
        <f>'Part II-Development Team'!L88</f>
        <v>www.fyffeconstruction.com</v>
      </c>
      <c r="M309" s="1827"/>
      <c r="N309" s="1827"/>
      <c r="O309" s="1823" t="s">
        <v>1679</v>
      </c>
      <c r="P309" s="1819"/>
      <c r="Q309" s="2188">
        <f>'Part II-Development Team'!Q88</f>
        <v>2569976659</v>
      </c>
      <c r="R309" s="2188"/>
      <c r="S309" s="2188"/>
    </row>
    <row r="310" spans="1:19" ht="13.8">
      <c r="A310" s="1819"/>
      <c r="B310" s="1819"/>
      <c r="C310" s="1819"/>
      <c r="D310" s="1819"/>
      <c r="E310" s="1823" t="s">
        <v>1754</v>
      </c>
      <c r="F310" s="1819"/>
      <c r="G310" s="1819"/>
      <c r="H310" s="1823" t="str">
        <f>'Part II-Development Team'!H89</f>
        <v>AL</v>
      </c>
      <c r="I310" s="1819"/>
      <c r="J310" s="1819"/>
      <c r="K310" s="1821" t="s">
        <v>2173</v>
      </c>
      <c r="L310" s="2187">
        <f>'Part II-Development Team'!L89</f>
        <v>359713484</v>
      </c>
      <c r="M310" s="1827"/>
      <c r="N310" s="1819"/>
      <c r="O310" s="1823" t="s">
        <v>1932</v>
      </c>
      <c r="P310" s="1819"/>
      <c r="Q310" s="2188">
        <f>'Part II-Development Team'!Q89</f>
        <v>2569976659</v>
      </c>
      <c r="R310" s="2188"/>
      <c r="S310" s="2188"/>
    </row>
    <row r="311" spans="1:19" ht="13.8">
      <c r="A311" s="1819"/>
      <c r="B311" s="1819"/>
      <c r="C311" s="1819"/>
      <c r="D311" s="1831"/>
      <c r="E311" s="1823" t="s">
        <v>3895</v>
      </c>
      <c r="F311" s="1819"/>
      <c r="G311" s="1819"/>
      <c r="H311" s="2188">
        <f>'Part II-Development Team'!H90</f>
        <v>2564174922</v>
      </c>
      <c r="I311" s="2188"/>
      <c r="J311" s="1829">
        <f>'Part II-Development Team'!J90</f>
        <v>295</v>
      </c>
      <c r="K311" s="1821" t="s">
        <v>1937</v>
      </c>
      <c r="L311" s="1965" t="str">
        <f>'Part II-Development Team'!L90</f>
        <v>lbarron@thevantagegroup.biz</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Vantage Management, LLC</v>
      </c>
      <c r="I313" s="1827"/>
      <c r="J313" s="1827"/>
      <c r="K313" s="1827"/>
      <c r="L313" s="1827"/>
      <c r="M313" s="1827"/>
      <c r="N313" s="1827"/>
      <c r="O313" s="1823" t="s">
        <v>1942</v>
      </c>
      <c r="P313" s="1823"/>
      <c r="Q313" s="1819" t="str">
        <f>'Part II-Development Team'!Q92</f>
        <v>Lowell R. Barron II</v>
      </c>
      <c r="R313" s="1827"/>
      <c r="S313" s="1827"/>
    </row>
    <row r="314" spans="1:19" ht="13.8">
      <c r="A314" s="1819"/>
      <c r="B314" s="1819"/>
      <c r="C314" s="1819"/>
      <c r="D314" s="1831"/>
      <c r="E314" s="1823" t="s">
        <v>999</v>
      </c>
      <c r="F314" s="1826"/>
      <c r="G314" s="1819"/>
      <c r="H314" s="1819" t="str">
        <f>'Part II-Development Team'!H93</f>
        <v>1544 S. Main Street</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Fyffe</v>
      </c>
      <c r="I315" s="1827"/>
      <c r="J315" s="1827"/>
      <c r="K315" s="1821" t="s">
        <v>2625</v>
      </c>
      <c r="L315" s="1819" t="str">
        <f>'Part II-Development Team'!L94</f>
        <v>www.thevantagegroup.biz</v>
      </c>
      <c r="M315" s="1827"/>
      <c r="N315" s="1827"/>
      <c r="O315" s="1823" t="s">
        <v>1679</v>
      </c>
      <c r="P315" s="1819"/>
      <c r="Q315" s="2188">
        <f>'Part II-Development Team'!Q94</f>
        <v>2569976659</v>
      </c>
      <c r="R315" s="2188"/>
      <c r="S315" s="2188"/>
    </row>
    <row r="316" spans="1:19" ht="13.8">
      <c r="A316" s="1819"/>
      <c r="B316" s="1819"/>
      <c r="C316" s="1819"/>
      <c r="D316" s="1831"/>
      <c r="E316" s="1823" t="s">
        <v>1754</v>
      </c>
      <c r="F316" s="1819"/>
      <c r="G316" s="1819"/>
      <c r="H316" s="1823" t="str">
        <f>'Part II-Development Team'!H95</f>
        <v>AL</v>
      </c>
      <c r="I316" s="1819"/>
      <c r="J316" s="1819"/>
      <c r="K316" s="1821" t="s">
        <v>2173</v>
      </c>
      <c r="L316" s="2187">
        <f>'Part II-Development Team'!L95</f>
        <v>359713484</v>
      </c>
      <c r="M316" s="1827"/>
      <c r="N316" s="1819"/>
      <c r="O316" s="1823" t="s">
        <v>1932</v>
      </c>
      <c r="P316" s="1819"/>
      <c r="Q316" s="2188">
        <f>'Part II-Development Team'!Q95</f>
        <v>2569976659</v>
      </c>
      <c r="R316" s="2188"/>
      <c r="S316" s="2188"/>
    </row>
    <row r="317" spans="1:19" ht="13.8">
      <c r="A317" s="1819"/>
      <c r="B317" s="1819"/>
      <c r="C317" s="1819"/>
      <c r="D317" s="1831"/>
      <c r="E317" s="1823" t="s">
        <v>3895</v>
      </c>
      <c r="F317" s="1819"/>
      <c r="G317" s="1819"/>
      <c r="H317" s="2188">
        <f>'Part II-Development Team'!H96</f>
        <v>2564174921</v>
      </c>
      <c r="I317" s="2188"/>
      <c r="J317" s="1829">
        <f>'Part II-Development Team'!J96</f>
        <v>295</v>
      </c>
      <c r="K317" s="1821" t="s">
        <v>1937</v>
      </c>
      <c r="L317" s="1965" t="str">
        <f>'Part II-Development Team'!L96</f>
        <v>lbarron@thevantagegroup.biz</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Balch &amp; Bingham, LLP</v>
      </c>
      <c r="I319" s="1827"/>
      <c r="J319" s="1827"/>
      <c r="K319" s="1827"/>
      <c r="L319" s="1827"/>
      <c r="M319" s="1827"/>
      <c r="N319" s="1827"/>
      <c r="O319" s="1823" t="s">
        <v>1942</v>
      </c>
      <c r="P319" s="1823"/>
      <c r="Q319" s="1819" t="str">
        <f>'Part II-Development Team'!Q98</f>
        <v>Lee Johnsey</v>
      </c>
      <c r="R319" s="1827"/>
      <c r="S319" s="1827"/>
    </row>
    <row r="320" spans="1:19" ht="13.8">
      <c r="A320" s="1819"/>
      <c r="B320" s="1819"/>
      <c r="C320" s="1819"/>
      <c r="D320" s="1831"/>
      <c r="E320" s="1823" t="s">
        <v>999</v>
      </c>
      <c r="F320" s="1826"/>
      <c r="G320" s="1819"/>
      <c r="H320" s="1819" t="str">
        <f>'Part II-Development Team'!H99</f>
        <v>1901 Sixth Avenue North</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Birmingham</v>
      </c>
      <c r="I321" s="1827"/>
      <c r="J321" s="1827"/>
      <c r="K321" s="1821" t="s">
        <v>2625</v>
      </c>
      <c r="L321" s="1819" t="str">
        <f>'Part II-Development Team'!L100</f>
        <v>www.balch.com</v>
      </c>
      <c r="M321" s="1827"/>
      <c r="N321" s="1827"/>
      <c r="O321" s="1823" t="s">
        <v>1679</v>
      </c>
      <c r="P321" s="1819"/>
      <c r="Q321" s="2188">
        <f>'Part II-Development Team'!Q100</f>
        <v>2052268741</v>
      </c>
      <c r="R321" s="2188"/>
      <c r="S321" s="2188"/>
    </row>
    <row r="322" spans="1:19" ht="13.8">
      <c r="A322" s="1819"/>
      <c r="B322" s="1819"/>
      <c r="C322" s="1819"/>
      <c r="D322" s="1831"/>
      <c r="E322" s="1823" t="s">
        <v>1754</v>
      </c>
      <c r="F322" s="1819"/>
      <c r="G322" s="1819"/>
      <c r="H322" s="1823" t="str">
        <f>'Part II-Development Team'!H101</f>
        <v>AL</v>
      </c>
      <c r="I322" s="1819"/>
      <c r="J322" s="1819"/>
      <c r="K322" s="1821" t="s">
        <v>2173</v>
      </c>
      <c r="L322" s="2187">
        <f>'Part II-Development Team'!L101</f>
        <v>352034642</v>
      </c>
      <c r="M322" s="1827"/>
      <c r="N322" s="1819"/>
      <c r="O322" s="1823" t="s">
        <v>1932</v>
      </c>
      <c r="P322" s="1819"/>
      <c r="Q322" s="2188">
        <f>'Part II-Development Team'!Q101</f>
        <v>2058073855</v>
      </c>
      <c r="R322" s="2188"/>
      <c r="S322" s="2188"/>
    </row>
    <row r="323" spans="1:19" ht="13.8">
      <c r="A323" s="1827"/>
      <c r="B323" s="1827"/>
      <c r="C323" s="1827"/>
      <c r="D323" s="1827"/>
      <c r="E323" s="1823" t="s">
        <v>3895</v>
      </c>
      <c r="F323" s="1819"/>
      <c r="G323" s="1819"/>
      <c r="H323" s="2188">
        <f>'Part II-Development Team'!H102</f>
        <v>2052268741</v>
      </c>
      <c r="I323" s="2188"/>
      <c r="J323" s="1829">
        <f>'Part II-Development Team'!J102</f>
        <v>0</v>
      </c>
      <c r="K323" s="1821" t="s">
        <v>1937</v>
      </c>
      <c r="L323" s="1965" t="str">
        <f>'Part II-Development Team'!L102</f>
        <v>ljohnsey@balch.com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Cone &amp; Smith, PC</v>
      </c>
      <c r="I325" s="1827"/>
      <c r="J325" s="1827"/>
      <c r="K325" s="1827"/>
      <c r="L325" s="1827"/>
      <c r="M325" s="1827"/>
      <c r="N325" s="1827"/>
      <c r="O325" s="1823" t="s">
        <v>1942</v>
      </c>
      <c r="P325" s="1823"/>
      <c r="Q325" s="1819" t="str">
        <f>'Part II-Development Team'!Q104</f>
        <v>David Smith</v>
      </c>
      <c r="R325" s="1827"/>
      <c r="S325" s="1827"/>
    </row>
    <row r="326" spans="1:19" ht="13.8">
      <c r="A326" s="1819"/>
      <c r="B326" s="1819"/>
      <c r="C326" s="1819"/>
      <c r="D326" s="1831"/>
      <c r="E326" s="1823" t="s">
        <v>999</v>
      </c>
      <c r="F326" s="1826"/>
      <c r="G326" s="1819"/>
      <c r="H326" s="1819" t="str">
        <f>'Part II-Development Team'!H105</f>
        <v>3421 Rainbow Parkway</v>
      </c>
      <c r="I326" s="1827"/>
      <c r="J326" s="1827"/>
      <c r="K326" s="1827"/>
      <c r="L326" s="1827"/>
      <c r="M326" s="1827"/>
      <c r="N326" s="1827"/>
      <c r="O326" s="1823" t="s">
        <v>1704</v>
      </c>
      <c r="P326" s="1819"/>
      <c r="Q326" s="1819" t="str">
        <f>'Part II-Development Team'!Q105</f>
        <v>Principal, CPA</v>
      </c>
      <c r="R326" s="1827"/>
      <c r="S326" s="1827"/>
    </row>
    <row r="327" spans="1:19" ht="13.8">
      <c r="A327" s="1819"/>
      <c r="B327" s="1819"/>
      <c r="C327" s="1819"/>
      <c r="D327" s="1831"/>
      <c r="E327" s="1823" t="s">
        <v>600</v>
      </c>
      <c r="F327" s="1819"/>
      <c r="G327" s="1819"/>
      <c r="H327" s="1819" t="str">
        <f>'Part II-Development Team'!H106</f>
        <v>Rainbow City</v>
      </c>
      <c r="I327" s="1827"/>
      <c r="J327" s="1827"/>
      <c r="K327" s="1821" t="s">
        <v>2625</v>
      </c>
      <c r="L327" s="1819" t="str">
        <f>'Part II-Development Team'!L106</f>
        <v>N/A</v>
      </c>
      <c r="M327" s="1827"/>
      <c r="N327" s="1827"/>
      <c r="O327" s="1823" t="s">
        <v>1679</v>
      </c>
      <c r="P327" s="1819"/>
      <c r="Q327" s="2188">
        <f>'Part II-Development Team'!Q106</f>
        <v>2564133057</v>
      </c>
      <c r="R327" s="2188"/>
      <c r="S327" s="2188"/>
    </row>
    <row r="328" spans="1:19" ht="13.8">
      <c r="A328" s="1819"/>
      <c r="B328" s="1819"/>
      <c r="C328" s="1819"/>
      <c r="D328" s="1831"/>
      <c r="E328" s="1823" t="s">
        <v>1754</v>
      </c>
      <c r="F328" s="1819"/>
      <c r="G328" s="1819"/>
      <c r="H328" s="1823" t="str">
        <f>'Part II-Development Team'!H107</f>
        <v>AL</v>
      </c>
      <c r="I328" s="1819"/>
      <c r="J328" s="1819"/>
      <c r="K328" s="1821" t="s">
        <v>2173</v>
      </c>
      <c r="L328" s="2187">
        <f>'Part II-Development Team'!L107</f>
        <v>359063206</v>
      </c>
      <c r="M328" s="1827"/>
      <c r="N328" s="1819"/>
      <c r="O328" s="1823" t="s">
        <v>1932</v>
      </c>
      <c r="P328" s="1819"/>
      <c r="Q328" s="2188">
        <f>'Part II-Development Team'!Q107</f>
        <v>2563905972</v>
      </c>
      <c r="R328" s="2188"/>
      <c r="S328" s="2188"/>
    </row>
    <row r="329" spans="1:19" ht="13.8">
      <c r="A329" s="1827"/>
      <c r="B329" s="1827"/>
      <c r="C329" s="1827"/>
      <c r="D329" s="1827"/>
      <c r="E329" s="1823" t="s">
        <v>3895</v>
      </c>
      <c r="F329" s="1819"/>
      <c r="G329" s="1819"/>
      <c r="H329" s="2188">
        <f>'Part II-Development Team'!H108</f>
        <v>2564133057</v>
      </c>
      <c r="I329" s="2188"/>
      <c r="J329" s="1829">
        <f>'Part II-Development Team'!J108</f>
        <v>0</v>
      </c>
      <c r="K329" s="1821" t="s">
        <v>1937</v>
      </c>
      <c r="L329" s="1965" t="str">
        <f>'Part II-Development Team'!L108</f>
        <v>dsmith@coneandsmith.com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Wallace Architects, LLC</v>
      </c>
      <c r="I331" s="1827"/>
      <c r="J331" s="1827"/>
      <c r="K331" s="1827"/>
      <c r="L331" s="1827"/>
      <c r="M331" s="1827"/>
      <c r="N331" s="1827"/>
      <c r="O331" s="1823" t="s">
        <v>1942</v>
      </c>
      <c r="P331" s="1823"/>
      <c r="Q331" s="1819" t="str">
        <f>'Part II-Development Team'!Q110</f>
        <v>Mike Kleffner</v>
      </c>
      <c r="R331" s="1827"/>
      <c r="S331" s="1827"/>
    </row>
    <row r="332" spans="1:19" ht="13.8">
      <c r="A332" s="1819"/>
      <c r="B332" s="1819"/>
      <c r="C332" s="1819"/>
      <c r="D332" s="1831"/>
      <c r="E332" s="1823" t="s">
        <v>999</v>
      </c>
      <c r="F332" s="1826"/>
      <c r="G332" s="1819"/>
      <c r="H332" s="1819" t="str">
        <f>'Part II-Development Team'!H111</f>
        <v>3615 West Broadway, Suite B</v>
      </c>
      <c r="I332" s="1827"/>
      <c r="J332" s="1827"/>
      <c r="K332" s="1827"/>
      <c r="L332" s="1827"/>
      <c r="M332" s="1827"/>
      <c r="N332" s="1827"/>
      <c r="O332" s="1823" t="s">
        <v>1704</v>
      </c>
      <c r="P332" s="1819"/>
      <c r="Q332" s="1819" t="str">
        <f>'Part II-Development Team'!Q111</f>
        <v>Architect</v>
      </c>
      <c r="R332" s="1827"/>
      <c r="S332" s="1827"/>
    </row>
    <row r="333" spans="1:19" ht="13.8">
      <c r="A333" s="1819"/>
      <c r="B333" s="1819"/>
      <c r="C333" s="1819"/>
      <c r="D333" s="1831"/>
      <c r="E333" s="1823" t="s">
        <v>600</v>
      </c>
      <c r="F333" s="1819"/>
      <c r="G333" s="1819"/>
      <c r="H333" s="1819" t="str">
        <f>'Part II-Development Team'!H112</f>
        <v>Sedalia</v>
      </c>
      <c r="I333" s="1827"/>
      <c r="J333" s="1827"/>
      <c r="K333" s="1821" t="s">
        <v>2625</v>
      </c>
      <c r="L333" s="1819" t="str">
        <f>'Part II-Development Team'!L112</f>
        <v>www.wallacearchitects.com</v>
      </c>
      <c r="M333" s="1827"/>
      <c r="N333" s="1827"/>
      <c r="O333" s="1823" t="s">
        <v>1679</v>
      </c>
      <c r="P333" s="1819"/>
      <c r="Q333" s="2188">
        <f>'Part II-Development Team'!Q112</f>
        <v>6608267000</v>
      </c>
      <c r="R333" s="2188"/>
      <c r="S333" s="2188"/>
    </row>
    <row r="334" spans="1:19" ht="13.8">
      <c r="A334" s="1819"/>
      <c r="B334" s="1819"/>
      <c r="C334" s="1819"/>
      <c r="D334" s="1831"/>
      <c r="E334" s="1823" t="s">
        <v>1754</v>
      </c>
      <c r="F334" s="1819"/>
      <c r="G334" s="1819"/>
      <c r="H334" s="1823" t="str">
        <f>'Part II-Development Team'!H113</f>
        <v>MO</v>
      </c>
      <c r="I334" s="1819"/>
      <c r="J334" s="1819"/>
      <c r="K334" s="1821" t="s">
        <v>2173</v>
      </c>
      <c r="L334" s="2187">
        <f>'Part II-Development Team'!L113</f>
        <v>653012479</v>
      </c>
      <c r="M334" s="1827"/>
      <c r="N334" s="1819"/>
      <c r="O334" s="1823" t="s">
        <v>1932</v>
      </c>
      <c r="P334" s="1819"/>
      <c r="Q334" s="2188">
        <f>'Part II-Development Team'!Q113</f>
        <v>6602817041</v>
      </c>
      <c r="R334" s="2188"/>
      <c r="S334" s="2188"/>
    </row>
    <row r="335" spans="1:19" ht="13.8">
      <c r="A335" s="1819"/>
      <c r="B335" s="1819"/>
      <c r="C335" s="1819"/>
      <c r="D335" s="1831"/>
      <c r="E335" s="1823" t="s">
        <v>3895</v>
      </c>
      <c r="F335" s="1819"/>
      <c r="G335" s="1819"/>
      <c r="H335" s="2188">
        <f>'Part II-Development Team'!H114</f>
        <v>6608267000</v>
      </c>
      <c r="I335" s="2188"/>
      <c r="J335" s="1829">
        <f>'Part II-Development Team'!J114</f>
        <v>0</v>
      </c>
      <c r="K335" s="1821" t="s">
        <v>1937</v>
      </c>
      <c r="L335" s="1965" t="str">
        <f>'Part II-Development Team'!L114</f>
        <v>mikek@wallacearchitects.com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6853</v>
      </c>
      <c r="D338" s="1819"/>
      <c r="E338" s="1819"/>
      <c r="F338" s="1819"/>
      <c r="G338" s="1819"/>
      <c r="H338" s="1819" t="str">
        <f>'Part II-Development Team'!H117</f>
        <v>Pecan Ridge Townhomes, LLC</v>
      </c>
      <c r="I338" s="1819"/>
      <c r="J338" s="1819"/>
      <c r="K338" s="1821" t="s">
        <v>2410</v>
      </c>
      <c r="L338" s="1819" t="str">
        <f>'Part II-Development Team'!L117</f>
        <v>Warren Hershberger</v>
      </c>
      <c r="M338" s="1827"/>
      <c r="N338" s="1827"/>
      <c r="O338" s="1823" t="s">
        <v>3441</v>
      </c>
      <c r="P338" s="1819"/>
      <c r="Q338" s="2188">
        <f>'Part II-Development Team'!Q117</f>
        <v>7062441012</v>
      </c>
      <c r="R338" s="2188"/>
      <c r="S338" s="2188"/>
    </row>
    <row r="339" spans="1:19" ht="13.8">
      <c r="A339" s="1819"/>
      <c r="B339" s="1819"/>
      <c r="C339" s="1819"/>
      <c r="D339" s="1831"/>
      <c r="E339" s="1823" t="s">
        <v>999</v>
      </c>
      <c r="F339" s="1826"/>
      <c r="G339" s="1819"/>
      <c r="H339" s="1819" t="str">
        <f>'Part II-Development Team'!H118</f>
        <v>353 Eastern Road</v>
      </c>
      <c r="I339" s="1827"/>
      <c r="J339" s="1827"/>
      <c r="K339" s="1827"/>
      <c r="L339" s="1827"/>
      <c r="M339" s="1827"/>
      <c r="N339" s="1827"/>
      <c r="O339" s="1823" t="s">
        <v>600</v>
      </c>
      <c r="P339" s="1819"/>
      <c r="Q339" s="1819" t="str">
        <f>'Part II-Development Team'!Q118</f>
        <v>Hartwell</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306438901</v>
      </c>
      <c r="K340" s="1827"/>
      <c r="L340" s="1821" t="s">
        <v>1937</v>
      </c>
      <c r="M340" s="1965" t="str">
        <f>'Part II-Development Team'!M119</f>
        <v>ridgeonehomes@yahoo.com</v>
      </c>
      <c r="N340" s="1965"/>
      <c r="O340" s="1965"/>
      <c r="P340" s="1965"/>
      <c r="Q340" s="1965"/>
      <c r="R340" s="1965"/>
      <c r="S340" s="1965"/>
    </row>
    <row r="341" spans="1:19" ht="13.8">
      <c r="A341" s="1827"/>
      <c r="B341" s="1819" t="s">
        <v>1938</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2444</v>
      </c>
      <c r="G342" s="1819" t="s">
        <v>3358</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2738</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2799</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2778</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3349</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3350</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4447</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4446</v>
      </c>
      <c r="D351" s="1844" t="str">
        <f>'Part II-Development Team'!D130</f>
        <v>Other - Owner and Developer / Consultant and Contractor and Mgr</v>
      </c>
      <c r="E351" s="1844"/>
      <c r="F351" s="2071" t="str">
        <f>'Part II-Development Team'!F130</f>
        <v>Yes</v>
      </c>
      <c r="G351" s="1956" t="str">
        <f>'Part II-Development Team'!G130</f>
        <v>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No</v>
      </c>
      <c r="N360" s="1956">
        <f>'Part II-Development Team'!N139</f>
        <v>0</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0.98990999999999996</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No</v>
      </c>
      <c r="J370" s="2071" t="str">
        <f>'Part II-Development Team'!J149</f>
        <v>No</v>
      </c>
      <c r="K370" s="2197" t="str">
        <f>'Part II-Development Team'!K149</f>
        <v>For Profit</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2020-091 The Pointe at St. Martin, Hartwell, Hart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6817</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No</v>
      </c>
      <c r="C385" s="1823" t="s">
        <v>4428</v>
      </c>
      <c r="D385" s="1819"/>
      <c r="E385" s="1821" t="str">
        <f>'Part III-Sources of Funds'!E6</f>
        <v>No</v>
      </c>
      <c r="F385" s="1823" t="s">
        <v>6818</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6819</v>
      </c>
      <c r="G386" s="1849"/>
      <c r="H386" s="1849" t="str">
        <f>'Part III-Sources of Funds'!H7</f>
        <v>Specify Other HOME Source here</v>
      </c>
      <c r="I386" s="1849"/>
      <c r="J386" s="1849"/>
      <c r="K386" s="1849"/>
      <c r="L386" s="1821" t="str">
        <f>'Part III-Sources of Funds'!L7</f>
        <v>No</v>
      </c>
      <c r="M386" s="1823" t="s">
        <v>3456</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4429</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3540</v>
      </c>
      <c r="G388" s="1849"/>
      <c r="H388" s="1849" t="str">
        <f>'Part III-Sources of Funds'!H9</f>
        <v>Specify Other PBRA Source here</v>
      </c>
      <c r="I388" s="1849"/>
      <c r="J388" s="1849"/>
      <c r="K388" s="1849"/>
      <c r="L388" s="1821" t="str">
        <f>'Part III-Sources of Funds'!L9</f>
        <v>No</v>
      </c>
      <c r="M388" s="1823" t="s">
        <v>3505</v>
      </c>
      <c r="N388" s="1849"/>
      <c r="O388" s="1849"/>
      <c r="P388" s="1849"/>
      <c r="Q388" s="1849"/>
      <c r="R388" s="1849"/>
      <c r="S388" s="1887"/>
      <c r="T388" s="1887"/>
    </row>
    <row r="389" spans="1:20" ht="13.8">
      <c r="A389" s="1821"/>
      <c r="B389" s="1821" t="str">
        <f>'Part III-Sources of Funds'!B10</f>
        <v>No</v>
      </c>
      <c r="C389" s="1823" t="s">
        <v>3509</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3543</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3539</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4426</v>
      </c>
      <c r="G393" s="1849"/>
      <c r="H393" s="1849"/>
      <c r="I393" s="2199">
        <f>'Part III-Sources of Funds'!I14</f>
        <v>0</v>
      </c>
      <c r="J393" s="1815"/>
      <c r="K393" s="1849"/>
      <c r="L393" s="1821" t="str">
        <f>'Part III-Sources of Funds'!L14</f>
        <v>No</v>
      </c>
      <c r="M393" s="1820" t="s">
        <v>6820</v>
      </c>
      <c r="N393" s="1849"/>
      <c r="O393" s="1849"/>
      <c r="P393" s="1849"/>
      <c r="Q393" s="1849"/>
      <c r="R393" s="1849"/>
      <c r="S393" s="1849"/>
      <c r="T393" s="1849"/>
    </row>
    <row r="394" spans="1:20" ht="13.8">
      <c r="A394" s="1821"/>
      <c r="B394" s="1849" t="s">
        <v>4430</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4389</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TBD - United Bank</v>
      </c>
      <c r="I399" s="1819"/>
      <c r="J399" s="1819"/>
      <c r="K399" s="1819"/>
      <c r="L399" s="1861">
        <f>'Part III-Sources of Funds'!L20</f>
        <v>7794967</v>
      </c>
      <c r="M399" s="1861"/>
      <c r="N399" s="1850">
        <f>'Part III-Sources of Funds'!N20</f>
        <v>5.7500000000000002E-2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United Bank</v>
      </c>
      <c r="I400" s="1819"/>
      <c r="J400" s="1819"/>
      <c r="K400" s="1819"/>
      <c r="L400" s="1861">
        <f>'Part III-Sources of Funds'!L21</f>
        <v>600000</v>
      </c>
      <c r="M400" s="1861"/>
      <c r="N400" s="1850">
        <f>'Part III-Sources of Funds'!N21</f>
        <v>1.15E-2</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TBD - 42 Equity</v>
      </c>
      <c r="I405" s="1819"/>
      <c r="J405" s="1819"/>
      <c r="K405" s="1819"/>
      <c r="L405" s="1861">
        <f>'Part III-Sources of Funds'!L26</f>
        <v>1409745</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TBD - Monarch (incl'd 1% Fed.)</v>
      </c>
      <c r="I406" s="1819"/>
      <c r="J406" s="1819"/>
      <c r="K406" s="1819"/>
      <c r="L406" s="1861">
        <f>'Part III-Sources of Funds'!L27</f>
        <v>865071</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10669783</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10143747</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526036</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4388</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United Bank</v>
      </c>
      <c r="F417" s="1819"/>
      <c r="G417" s="1819"/>
      <c r="H417" s="1819"/>
      <c r="I417" s="1882">
        <f>'Part III-Sources of Funds'!I38</f>
        <v>600000</v>
      </c>
      <c r="J417" s="1819"/>
      <c r="K417" s="1851">
        <f>'Part III-Sources of Funds'!K38</f>
        <v>1.15E-2</v>
      </c>
      <c r="L417" s="1821">
        <f>-'Part III-Sources of Funds'!L38</f>
        <v>-10</v>
      </c>
      <c r="M417" s="1821">
        <f>-'Part III-Sources of Funds'!M38</f>
        <v>-10</v>
      </c>
      <c r="N417" s="1819" t="e">
        <f>-'Part III-Sources of Funds'!N38</f>
        <v>#VALUE!</v>
      </c>
      <c r="O417" s="1819"/>
      <c r="P417" s="1852">
        <f>-'Part III-Sources of Funds'!P38</f>
        <v>-63544.824195970941</v>
      </c>
      <c r="Q417" s="1852"/>
      <c r="R417" s="1849"/>
      <c r="S417" s="1887"/>
      <c r="T417" s="1887"/>
    </row>
    <row r="418" spans="1:20" ht="13.8">
      <c r="A418" s="1819"/>
      <c r="B418" s="1819" t="s">
        <v>2548</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t="str">
        <f>'Part III-Sources of Funds'!F45</f>
        <v/>
      </c>
      <c r="G424" s="1849"/>
      <c r="H424" s="1855" t="s">
        <v>3832</v>
      </c>
      <c r="I424" s="1854" t="str">
        <f>'Part III-Sources of Funds'!I45</f>
        <v/>
      </c>
      <c r="J424" s="1849"/>
      <c r="K424" s="1855" t="s">
        <v>3834</v>
      </c>
      <c r="L424" s="1856" t="str">
        <f>'Part III-Sources of Funds'!L45</f>
        <v/>
      </c>
      <c r="M424" s="1856"/>
      <c r="N424" s="1852" t="s">
        <v>4396</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TBD - 42 Equity</v>
      </c>
      <c r="F428" s="1819"/>
      <c r="G428" s="1819"/>
      <c r="H428" s="1819"/>
      <c r="I428" s="1882">
        <f>'Part III-Sources of Funds'!I49</f>
        <v>7048726</v>
      </c>
      <c r="J428" s="1819"/>
      <c r="K428" s="1849"/>
      <c r="L428" s="1858">
        <f>'Part III-Sources of Funds'!L49</f>
        <v>7048720.7999999998</v>
      </c>
      <c r="M428" s="1858"/>
      <c r="N428" s="1859">
        <f>'Part III-Sources of Funds'!N49</f>
        <v>5.2000000001862645</v>
      </c>
      <c r="O428" s="1859"/>
      <c r="P428" s="1860">
        <f>I428/I438</f>
        <v>0.58866559629867021</v>
      </c>
      <c r="Q428" s="1819"/>
      <c r="R428" s="1849"/>
      <c r="S428" s="1887"/>
      <c r="T428" s="1887"/>
    </row>
    <row r="429" spans="1:20" ht="13.8">
      <c r="A429" s="1819"/>
      <c r="B429" s="1819" t="s">
        <v>783</v>
      </c>
      <c r="C429" s="1819"/>
      <c r="D429" s="1819"/>
      <c r="E429" s="1819" t="str">
        <f>'Part III-Sources of Funds'!E50</f>
        <v>TBD - Monarch (incl'd 1% Fed.)</v>
      </c>
      <c r="F429" s="1819"/>
      <c r="G429" s="1819"/>
      <c r="H429" s="1819"/>
      <c r="I429" s="1882">
        <f>'Part III-Sources of Funds'!I50</f>
        <v>4325349</v>
      </c>
      <c r="J429" s="1819"/>
      <c r="K429" s="1849"/>
      <c r="L429" s="1858">
        <f>'Part III-Sources of Funds'!L50</f>
        <v>4325351.4000000004</v>
      </c>
      <c r="M429" s="1858"/>
      <c r="N429" s="1859">
        <f>'Part III-Sources of Funds'!N50</f>
        <v>-2.400000000372529</v>
      </c>
      <c r="O429" s="1859"/>
      <c r="P429" s="1860">
        <f>I429/I438</f>
        <v>0.36122614899271971</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0.94989174529138998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11974075</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11974075</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All sources and uses are verifiable. Commitments for the above listed financing are located in Tab 01: Feasibility. Please note that there will be no shortfall of funding during construction. 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2020-091 The Pointe at St. Martin,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2020-091 The Pointe at St. Martin,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8500</v>
      </c>
      <c r="H454" s="1861"/>
      <c r="I454" s="1819"/>
      <c r="J454" s="1861">
        <f>'Part IV-A-Uses of Funds'!J8</f>
        <v>8500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10500</v>
      </c>
      <c r="H455" s="1861"/>
      <c r="I455" s="1819"/>
      <c r="J455" s="1861">
        <f>'Part IV-A-Uses of Funds'!J9</f>
        <v>10500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15000</v>
      </c>
      <c r="H456" s="1861"/>
      <c r="I456" s="1819"/>
      <c r="J456" s="1861">
        <f>'Part IV-A-Uses of Funds'!J10</f>
        <v>15000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14000</v>
      </c>
      <c r="H458" s="1861"/>
      <c r="I458" s="1819"/>
      <c r="J458" s="1861">
        <f>'Part IV-A-Uses of Funds'!J12</f>
        <v>14000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4704</v>
      </c>
      <c r="H459" s="1861"/>
      <c r="I459" s="1819"/>
      <c r="J459" s="1861">
        <f>'Part IV-A-Uses of Funds'!J13</f>
        <v>4704</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62704</v>
      </c>
      <c r="H463" s="1861"/>
      <c r="I463" s="1819"/>
      <c r="J463" s="1861">
        <f>SUM(J454:K462)</f>
        <v>62704</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3544</v>
      </c>
      <c r="F465" s="1864">
        <f>IF('Part I-Project Information'!$O$37="","",G465/'Part I-Project Information'!$O$37)</f>
        <v>78070.784177654394</v>
      </c>
      <c r="G465" s="1861">
        <f>'Part IV-A-Uses of Funds'!G19</f>
        <v>675000</v>
      </c>
      <c r="H465" s="1861"/>
      <c r="I465" s="1819"/>
      <c r="J465" s="1832"/>
      <c r="K465" s="1861"/>
      <c r="L465" s="1832"/>
      <c r="M465" s="1832"/>
      <c r="N465" s="1861"/>
      <c r="O465" s="1819"/>
      <c r="P465" s="1832"/>
      <c r="Q465" s="1861"/>
      <c r="R465" s="1819"/>
      <c r="S465" s="1861">
        <f>'Part IV-A-Uses of Funds'!S19</f>
        <v>675000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675000</v>
      </c>
      <c r="H469" s="1861"/>
      <c r="I469" s="1819"/>
      <c r="J469" s="1832"/>
      <c r="K469" s="1861"/>
      <c r="L469" s="1832"/>
      <c r="M469" s="1861">
        <f>SUM(M467:N468)</f>
        <v>0</v>
      </c>
      <c r="N469" s="1861"/>
      <c r="O469" s="1819"/>
      <c r="P469" s="1832"/>
      <c r="Q469" s="1861"/>
      <c r="R469" s="1819"/>
      <c r="S469" s="1861">
        <f>SUM(S465:T468)</f>
        <v>675000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144026.13925514687</v>
      </c>
      <c r="G471" s="1861">
        <f>'Part IV-A-Uses of Funds'!G25</f>
        <v>1245250</v>
      </c>
      <c r="H471" s="1861"/>
      <c r="I471" s="1819"/>
      <c r="J471" s="1861">
        <f>'Part IV-A-Uses of Funds'!J25</f>
        <v>1245250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1245250</v>
      </c>
      <c r="H473" s="1861"/>
      <c r="I473" s="1819"/>
      <c r="J473" s="1861">
        <f>SUM(J471:K472)</f>
        <v>1245250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5631140</v>
      </c>
      <c r="H475" s="1861"/>
      <c r="I475" s="1819"/>
      <c r="J475" s="1861">
        <f>'Part IV-A-Uses of Funds'!J29</f>
        <v>5631140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125000</v>
      </c>
      <c r="H477" s="1861"/>
      <c r="I477" s="1819"/>
      <c r="J477" s="1861">
        <f>'Part IV-A-Uses of Funds'!J31</f>
        <v>125000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5756140</v>
      </c>
      <c r="H479" s="1861"/>
      <c r="I479" s="1819"/>
      <c r="J479" s="1861">
        <f>SUM(J475:K478)</f>
        <v>5756140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3548</v>
      </c>
      <c r="E480" s="1849"/>
      <c r="F480" s="2081">
        <f>SUM(F481:F483)</f>
        <v>0.13999791469979533</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420083.39999999997</v>
      </c>
      <c r="F481" s="1865">
        <f>'Part IV-A-Uses of Funds'!F35</f>
        <v>5.9999514382144119E-2</v>
      </c>
      <c r="G481" s="1861">
        <f>'Part IV-A-Uses of Funds'!G35</f>
        <v>420080</v>
      </c>
      <c r="H481" s="1861"/>
      <c r="I481" s="1827"/>
      <c r="J481" s="1861">
        <f>'Part IV-A-Uses of Funds'!J35</f>
        <v>420080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140027.79999999999</v>
      </c>
      <c r="F482" s="1865">
        <f>'Part IV-A-Uses of Funds'!F36</f>
        <v>1.9998885935507093E-2</v>
      </c>
      <c r="G482" s="1861">
        <f>'Part IV-A-Uses of Funds'!G36</f>
        <v>140020</v>
      </c>
      <c r="H482" s="1861"/>
      <c r="I482" s="1827"/>
      <c r="J482" s="1861">
        <f>'Part IV-A-Uses of Funds'!J36</f>
        <v>140020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420083.39999999997</v>
      </c>
      <c r="F483" s="1865">
        <f>'Part IV-A-Uses of Funds'!F37</f>
        <v>5.9999514382144119E-2</v>
      </c>
      <c r="G483" s="1861">
        <f>'Part IV-A-Uses of Funds'!G37</f>
        <v>420080</v>
      </c>
      <c r="H483" s="1861"/>
      <c r="I483" s="1827"/>
      <c r="J483" s="1861">
        <f>'Part IV-A-Uses of Funds'!J37</f>
        <v>420080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980194.59999999986</v>
      </c>
      <c r="F484" s="1826" t="s">
        <v>187</v>
      </c>
      <c r="G484" s="1861">
        <f>SUM(G481:H483)</f>
        <v>980180</v>
      </c>
      <c r="H484" s="1861"/>
      <c r="I484" s="1819"/>
      <c r="J484" s="1861">
        <f>SUM(J481:K483)</f>
        <v>980180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2659</v>
      </c>
      <c r="F489" s="2083">
        <f>B490/'Part VI-Revenues &amp; Expenses'!$P$65</f>
        <v>133026.16666666666</v>
      </c>
      <c r="G489" s="2084" t="s">
        <v>6899</v>
      </c>
      <c r="H489" s="1819"/>
      <c r="I489" s="1819"/>
      <c r="J489" s="1880">
        <f>B490/'Part VI-Revenues &amp; Expenses'!$P$67</f>
        <v>133026.16666666666</v>
      </c>
      <c r="K489" s="1880"/>
      <c r="L489" s="1819"/>
      <c r="M489" s="2085" t="s">
        <v>1375</v>
      </c>
      <c r="N489" s="2085"/>
      <c r="O489" s="1819"/>
      <c r="P489" s="1880">
        <f>B490/'Part I-Project Information'!$P$75</f>
        <v>117.4883344373298</v>
      </c>
      <c r="Q489" s="1880"/>
      <c r="R489" s="1819"/>
      <c r="S489" s="1822" t="s">
        <v>2687</v>
      </c>
      <c r="T489" s="1822"/>
      <c r="U489" s="1819"/>
      <c r="V489" s="1862"/>
      <c r="W489" s="1772"/>
      <c r="X489" s="1772"/>
    </row>
    <row r="490" spans="1:24" ht="13.8">
      <c r="A490" s="1819"/>
      <c r="B490" s="2086">
        <f>G473+G479+G484+G487</f>
        <v>7981570</v>
      </c>
      <c r="C490" s="2086"/>
      <c r="D490" s="1819"/>
      <c r="E490" s="1819"/>
      <c r="F490" s="2083">
        <f>B490/'Part VI-Revenues &amp; Expenses'!$P$168</f>
        <v>121.97521242129714</v>
      </c>
      <c r="G490" s="1822" t="s">
        <v>6900</v>
      </c>
      <c r="H490" s="1819"/>
      <c r="I490" s="1819"/>
      <c r="J490" s="1880">
        <f>B490/'Part VI-Revenues &amp; Expenses'!$P$170</f>
        <v>121.97521242129714</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3837</v>
      </c>
      <c r="E493" s="2087">
        <f>'Part IV-A-Uses of Funds'!E47</f>
        <v>399078.5</v>
      </c>
      <c r="F493" s="1869">
        <f>G493/B490</f>
        <v>4.9998935046613638E-2</v>
      </c>
      <c r="G493" s="1861">
        <f>'Part IV-A-Uses of Funds'!G47</f>
        <v>399070</v>
      </c>
      <c r="H493" s="1861"/>
      <c r="I493" s="1819"/>
      <c r="J493" s="1861">
        <f>'Part IV-A-Uses of Funds'!J47</f>
        <v>399070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103437</v>
      </c>
      <c r="H500" s="1861"/>
      <c r="I500" s="1819"/>
      <c r="J500" s="1861">
        <f>'Part IV-A-Uses of Funds'!J54</f>
        <v>103437</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224761</v>
      </c>
      <c r="H501" s="1861"/>
      <c r="I501" s="1819"/>
      <c r="J501" s="1861">
        <f>'Part IV-A-Uses of Funds'!J55</f>
        <v>224761</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25000</v>
      </c>
      <c r="H502" s="1861"/>
      <c r="I502" s="1819"/>
      <c r="J502" s="1861">
        <f>'Part IV-A-Uses of Funds'!J56</f>
        <v>25000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14500</v>
      </c>
      <c r="H503" s="1861"/>
      <c r="I503" s="1819"/>
      <c r="J503" s="1861">
        <f>'Part IV-A-Uses of Funds'!J57</f>
        <v>14500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5000</v>
      </c>
      <c r="T504" s="1861"/>
      <c r="U504" s="1819"/>
      <c r="V504" s="1862"/>
      <c r="W504" s="1772"/>
      <c r="X504" s="1772"/>
    </row>
    <row r="505" spans="1:24" ht="13.8">
      <c r="A505" s="1819"/>
      <c r="B505" s="1819" t="s">
        <v>2290</v>
      </c>
      <c r="C505" s="1819"/>
      <c r="D505" s="1819"/>
      <c r="E505" s="1819"/>
      <c r="F505" s="1819"/>
      <c r="G505" s="1861">
        <f>'Part IV-A-Uses of Funds'!G59</f>
        <v>60000</v>
      </c>
      <c r="H505" s="1861"/>
      <c r="I505" s="1819"/>
      <c r="J505" s="1861">
        <f>'Part IV-A-Uses of Funds'!J59</f>
        <v>60000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50000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482698</v>
      </c>
      <c r="H510" s="1861"/>
      <c r="I510" s="1819"/>
      <c r="J510" s="1861">
        <f>SUM(J498:K509)</f>
        <v>477698</v>
      </c>
      <c r="K510" s="1861"/>
      <c r="L510" s="1832"/>
      <c r="M510" s="1861">
        <f>SUM(M498:N509)</f>
        <v>0</v>
      </c>
      <c r="N510" s="1861"/>
      <c r="O510" s="1819"/>
      <c r="P510" s="1861">
        <f>SUM(P498:Q509)</f>
        <v>0</v>
      </c>
      <c r="Q510" s="1861"/>
      <c r="R510" s="1819"/>
      <c r="S510" s="1861">
        <f>SUM(S498:T509)</f>
        <v>5000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120000</v>
      </c>
      <c r="H512" s="1861"/>
      <c r="I512" s="1819"/>
      <c r="J512" s="1861">
        <f>'Part IV-A-Uses of Funds'!J66</f>
        <v>120000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12000</v>
      </c>
      <c r="H513" s="1861"/>
      <c r="I513" s="1819"/>
      <c r="J513" s="1861">
        <f>'Part IV-A-Uses of Funds'!J67</f>
        <v>12000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0</v>
      </c>
      <c r="H514" s="1861"/>
      <c r="I514" s="1819"/>
      <c r="J514" s="1861">
        <f>'Part IV-A-Uses of Funds'!J68</f>
        <v>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39500</v>
      </c>
      <c r="H515" s="1861"/>
      <c r="I515" s="1819"/>
      <c r="J515" s="1861">
        <f>'Part IV-A-Uses of Funds'!J69</f>
        <v>39500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20000</v>
      </c>
      <c r="H516" s="1861"/>
      <c r="I516" s="1819"/>
      <c r="J516" s="1861">
        <f>'Part IV-A-Uses of Funds'!J70</f>
        <v>20000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45000</v>
      </c>
      <c r="H518" s="1861"/>
      <c r="I518" s="1819"/>
      <c r="J518" s="1861">
        <f>'Part IV-A-Uses of Funds'!J72</f>
        <v>45000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63000</v>
      </c>
      <c r="K519" s="1861"/>
      <c r="L519" s="1832"/>
      <c r="M519" s="1861">
        <f>'Part IV-A-Uses of Funds'!M73</f>
        <v>0</v>
      </c>
      <c r="N519" s="1861"/>
      <c r="O519" s="1819"/>
      <c r="P519" s="1861">
        <f>'Part IV-A-Uses of Funds'!P73</f>
        <v>0</v>
      </c>
      <c r="Q519" s="1861"/>
      <c r="R519" s="1819"/>
      <c r="S519" s="1861">
        <f>'Part IV-A-Uses of Funds'!S73</f>
        <v>7000</v>
      </c>
      <c r="T519" s="1861"/>
      <c r="U519" s="1819"/>
      <c r="V519" s="1862"/>
      <c r="W519" s="1772"/>
      <c r="X519" s="1772"/>
    </row>
    <row r="520" spans="1:24" ht="13.8">
      <c r="A520" s="1819"/>
      <c r="B520" s="1819" t="s">
        <v>2001</v>
      </c>
      <c r="C520" s="1819"/>
      <c r="D520" s="1819"/>
      <c r="E520" s="1819"/>
      <c r="F520" s="1819"/>
      <c r="G520" s="1861">
        <f>'Part IV-A-Uses of Funds'!G74</f>
        <v>25000</v>
      </c>
      <c r="H520" s="1861"/>
      <c r="I520" s="1819"/>
      <c r="J520" s="1861">
        <f>'Part IV-A-Uses of Funds'!J74</f>
        <v>22500</v>
      </c>
      <c r="K520" s="1861"/>
      <c r="L520" s="1832"/>
      <c r="M520" s="1861">
        <f>'Part IV-A-Uses of Funds'!M74</f>
        <v>0</v>
      </c>
      <c r="N520" s="1861"/>
      <c r="O520" s="1819"/>
      <c r="P520" s="1861">
        <f>'Part IV-A-Uses of Funds'!P74</f>
        <v>0</v>
      </c>
      <c r="Q520" s="1861"/>
      <c r="R520" s="1819"/>
      <c r="S520" s="1861">
        <f>'Part IV-A-Uses of Funds'!S74</f>
        <v>2500</v>
      </c>
      <c r="T520" s="1861"/>
      <c r="U520" s="1819"/>
      <c r="V520" s="1862"/>
      <c r="W520" s="1772"/>
      <c r="X520" s="1772"/>
    </row>
    <row r="521" spans="1:24" ht="13.8">
      <c r="A521" s="1819"/>
      <c r="B521" s="1819" t="s">
        <v>1251</v>
      </c>
      <c r="C521" s="1819"/>
      <c r="D521" s="1819"/>
      <c r="E521" s="1819"/>
      <c r="F521" s="1819"/>
      <c r="G521" s="1861">
        <f>'Part IV-A-Uses of Funds'!G75</f>
        <v>8000</v>
      </c>
      <c r="H521" s="1861"/>
      <c r="I521" s="1819"/>
      <c r="J521" s="1861">
        <f>'Part IV-A-Uses of Funds'!J75</f>
        <v>8000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339500</v>
      </c>
      <c r="H523" s="1861"/>
      <c r="I523" s="1819"/>
      <c r="J523" s="1861">
        <f>SUM(J512:K522)</f>
        <v>330000</v>
      </c>
      <c r="K523" s="1861"/>
      <c r="L523" s="1832"/>
      <c r="M523" s="1861">
        <f>SUM(M512:N522)</f>
        <v>0</v>
      </c>
      <c r="N523" s="1861"/>
      <c r="O523" s="1819"/>
      <c r="P523" s="1861">
        <f>SUM(P512:Q522)</f>
        <v>0</v>
      </c>
      <c r="Q523" s="1861"/>
      <c r="R523" s="1819"/>
      <c r="S523" s="1861">
        <f>SUM(S512:T522)</f>
        <v>9500</v>
      </c>
      <c r="T523" s="1861"/>
      <c r="U523" s="1819"/>
      <c r="V523" s="1862">
        <f>SUM(V512:V522)</f>
        <v>0</v>
      </c>
      <c r="W523" s="1772"/>
      <c r="X523" s="1772"/>
    </row>
    <row r="524" spans="1:24" ht="13.8">
      <c r="A524" s="1819"/>
      <c r="B524" s="1819" t="s">
        <v>1243</v>
      </c>
      <c r="C524" s="1819"/>
      <c r="D524" s="1816" t="s">
        <v>3552</v>
      </c>
      <c r="E524" s="2088">
        <f>G529/'Part VI-Revenues &amp; Expenses'!$P$67</f>
        <v>1410.4166666666667</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16624</v>
      </c>
      <c r="H525" s="1861"/>
      <c r="I525" s="1819"/>
      <c r="J525" s="1861">
        <f>'Part IV-A-Uses of Funds'!J79</f>
        <v>16624</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67100</v>
      </c>
      <c r="H527" s="1861"/>
      <c r="I527" s="1827"/>
      <c r="J527" s="1861">
        <f>'Part IV-A-Uses of Funds'!J81</f>
        <v>67100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901</v>
      </c>
      <c r="H528" s="1861"/>
      <c r="I528" s="1827"/>
      <c r="J528" s="1861">
        <f>'Part IV-A-Uses of Funds'!J82</f>
        <v>901</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84625</v>
      </c>
      <c r="H529" s="1861"/>
      <c r="I529" s="1819"/>
      <c r="J529" s="1861">
        <f>SUM(J525:K528)</f>
        <v>84625</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6000</v>
      </c>
      <c r="H531" s="1861"/>
      <c r="I531" s="1819"/>
      <c r="J531" s="1861"/>
      <c r="K531" s="1861"/>
      <c r="L531" s="1832"/>
      <c r="M531" s="1861"/>
      <c r="N531" s="1861"/>
      <c r="O531" s="1819"/>
      <c r="P531" s="1861"/>
      <c r="Q531" s="1861"/>
      <c r="R531" s="1819"/>
      <c r="S531" s="1861">
        <f>'Part IV-A-Uses of Funds'!S85</f>
        <v>6000</v>
      </c>
      <c r="T531" s="1861"/>
      <c r="U531" s="1819"/>
      <c r="V531" s="1862"/>
      <c r="W531" s="1772"/>
      <c r="X531" s="1772"/>
    </row>
    <row r="532" spans="1:24" ht="13.8">
      <c r="A532" s="1819"/>
      <c r="B532" s="1819" t="s">
        <v>1249</v>
      </c>
      <c r="C532" s="1819"/>
      <c r="D532" s="1819"/>
      <c r="E532" s="1819"/>
      <c r="F532" s="1819"/>
      <c r="G532" s="1861">
        <f>'Part IV-A-Uses of Funds'!G86</f>
        <v>15000</v>
      </c>
      <c r="H532" s="1861"/>
      <c r="I532" s="1819"/>
      <c r="J532" s="1861"/>
      <c r="K532" s="1861"/>
      <c r="L532" s="1832"/>
      <c r="M532" s="1861"/>
      <c r="N532" s="1861"/>
      <c r="O532" s="1819"/>
      <c r="P532" s="1861"/>
      <c r="Q532" s="1861"/>
      <c r="R532" s="1819"/>
      <c r="S532" s="1861">
        <f>'Part IV-A-Uses of Funds'!S86</f>
        <v>15000</v>
      </c>
      <c r="T532" s="1861"/>
      <c r="U532" s="1819"/>
      <c r="V532" s="1862"/>
      <c r="W532" s="1772"/>
      <c r="X532" s="1772"/>
    </row>
    <row r="533" spans="1:24" ht="13.8">
      <c r="A533" s="1819"/>
      <c r="B533" s="1819" t="s">
        <v>1250</v>
      </c>
      <c r="C533" s="1819"/>
      <c r="D533" s="1819"/>
      <c r="E533" s="1819"/>
      <c r="F533" s="1819"/>
      <c r="G533" s="1861">
        <f>'Part IV-A-Uses of Funds'!G87</f>
        <v>5000</v>
      </c>
      <c r="H533" s="1861"/>
      <c r="I533" s="1819"/>
      <c r="J533" s="1861"/>
      <c r="K533" s="1861"/>
      <c r="L533" s="1832"/>
      <c r="M533" s="1861"/>
      <c r="N533" s="1861"/>
      <c r="O533" s="1819"/>
      <c r="P533" s="1861"/>
      <c r="Q533" s="1861"/>
      <c r="R533" s="1819"/>
      <c r="S533" s="1861">
        <f>'Part IV-A-Uses of Funds'!S87</f>
        <v>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1st Year Perm Insurance</v>
      </c>
      <c r="D536" s="1849"/>
      <c r="E536" s="1849"/>
      <c r="F536" s="1849"/>
      <c r="G536" s="1861">
        <f>'Part IV-A-Uses of Funds'!G90</f>
        <v>16200</v>
      </c>
      <c r="H536" s="1861"/>
      <c r="I536" s="1819"/>
      <c r="J536" s="1861"/>
      <c r="K536" s="1861"/>
      <c r="L536" s="1832"/>
      <c r="M536" s="1861"/>
      <c r="N536" s="1861"/>
      <c r="O536" s="1819"/>
      <c r="P536" s="1861"/>
      <c r="Q536" s="1861"/>
      <c r="R536" s="1819"/>
      <c r="S536" s="1861">
        <f>'Part IV-A-Uses of Funds'!S90</f>
        <v>16200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42200</v>
      </c>
      <c r="H537" s="1861"/>
      <c r="I537" s="1819"/>
      <c r="J537" s="1861"/>
      <c r="K537" s="1861"/>
      <c r="L537" s="1832"/>
      <c r="M537" s="1861"/>
      <c r="N537" s="1861"/>
      <c r="O537" s="1819"/>
      <c r="P537" s="1861"/>
      <c r="Q537" s="1861"/>
      <c r="R537" s="1819"/>
      <c r="S537" s="1861">
        <f>SUM(S531:T536)</f>
        <v>42200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3701</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64080</v>
      </c>
      <c r="F545" s="1861"/>
      <c r="G545" s="1861">
        <f>'Part IV-A-Uses of Funds'!G99</f>
        <v>64080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64080</v>
      </c>
      <c r="T545" s="1861"/>
      <c r="U545" s="1819"/>
      <c r="V545" s="1862"/>
      <c r="W545" s="1772"/>
      <c r="X545" s="1772"/>
    </row>
    <row r="546" spans="1:33" ht="13.8">
      <c r="A546" s="1819"/>
      <c r="B546" s="1819" t="s">
        <v>735</v>
      </c>
      <c r="C546" s="1819"/>
      <c r="D546" s="1819"/>
      <c r="E546" s="1861">
        <f>'Part IV-A-Uses of Funds'!E100</f>
        <v>60000</v>
      </c>
      <c r="F546" s="1861"/>
      <c r="G546" s="1861">
        <f>'Part IV-A-Uses of Funds'!G100</f>
        <v>60000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60000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133580</v>
      </c>
      <c r="H551" s="1861"/>
      <c r="I551" s="1819"/>
      <c r="J551" s="1832"/>
      <c r="K551" s="1832"/>
      <c r="L551" s="1832"/>
      <c r="M551" s="1832"/>
      <c r="N551" s="1832"/>
      <c r="O551" s="1819"/>
      <c r="P551" s="1832"/>
      <c r="Q551" s="1832"/>
      <c r="R551" s="1819"/>
      <c r="S551" s="1861">
        <f>SUM(S542:T550)</f>
        <v>133580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3500</v>
      </c>
      <c r="H553" s="1861"/>
      <c r="I553" s="1819"/>
      <c r="J553" s="1861"/>
      <c r="K553" s="1861"/>
      <c r="L553" s="1832"/>
      <c r="M553" s="1861"/>
      <c r="N553" s="1861"/>
      <c r="O553" s="1819"/>
      <c r="P553" s="1861"/>
      <c r="Q553" s="1861"/>
      <c r="R553" s="1819"/>
      <c r="S553" s="1861">
        <f>'Part IV-A-Uses of Funds'!S107</f>
        <v>3500</v>
      </c>
      <c r="T553" s="1861"/>
      <c r="U553" s="1819"/>
      <c r="V553" s="1862"/>
      <c r="W553" s="1772"/>
      <c r="X553" s="1772"/>
    </row>
    <row r="554" spans="1:33" ht="13.8">
      <c r="A554" s="1819"/>
      <c r="B554" s="1819" t="s">
        <v>275</v>
      </c>
      <c r="C554" s="1819"/>
      <c r="D554" s="1819"/>
      <c r="E554" s="1819"/>
      <c r="F554" s="1819"/>
      <c r="G554" s="1861">
        <f>'Part IV-A-Uses of Funds'!G108</f>
        <v>2500</v>
      </c>
      <c r="H554" s="1861"/>
      <c r="I554" s="1819"/>
      <c r="J554" s="1861"/>
      <c r="K554" s="1861"/>
      <c r="L554" s="1832"/>
      <c r="M554" s="1861"/>
      <c r="N554" s="1861"/>
      <c r="O554" s="1819"/>
      <c r="P554" s="1861"/>
      <c r="Q554" s="1861"/>
      <c r="R554" s="1819"/>
      <c r="S554" s="1861">
        <f>'Part IV-A-Uses of Funds'!S108</f>
        <v>2500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6000</v>
      </c>
      <c r="H557" s="1861"/>
      <c r="I557" s="1819"/>
      <c r="J557" s="1861"/>
      <c r="K557" s="1861"/>
      <c r="L557" s="1832"/>
      <c r="M557" s="1861"/>
      <c r="N557" s="1861"/>
      <c r="O557" s="1819"/>
      <c r="P557" s="1861"/>
      <c r="Q557" s="1861"/>
      <c r="R557" s="1819"/>
      <c r="S557" s="1861">
        <f>SUM(S553:T556)</f>
        <v>6000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1450000</v>
      </c>
      <c r="H563" s="1861"/>
      <c r="I563" s="1819"/>
      <c r="J563" s="1861">
        <f>'Part IV-A-Uses of Funds'!J117</f>
        <v>1450000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1450000</v>
      </c>
      <c r="F564" s="1826" t="s">
        <v>187</v>
      </c>
      <c r="G564" s="1877">
        <f>SUM(G559:H563)</f>
        <v>1450000</v>
      </c>
      <c r="H564" s="1877"/>
      <c r="I564" s="1819"/>
      <c r="J564" s="1861">
        <f>SUM(J559:K563)</f>
        <v>1450000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45000</v>
      </c>
      <c r="H566" s="1861"/>
      <c r="I566" s="1819"/>
      <c r="J566" s="2089"/>
      <c r="K566" s="2089"/>
      <c r="L566" s="2089"/>
      <c r="M566" s="2089"/>
      <c r="N566" s="2089"/>
      <c r="O566" s="1819"/>
      <c r="P566" s="2089"/>
      <c r="Q566" s="2089"/>
      <c r="R566" s="1819"/>
      <c r="S566" s="1861">
        <f>'Part IV-A-Uses of Funds'!S120</f>
        <v>45000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61036</v>
      </c>
      <c r="G567" s="1861">
        <f>'Part IV-A-Uses of Funds'!G121</f>
        <v>61036</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61036</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153844.41209798548</v>
      </c>
      <c r="G568" s="1861">
        <f>'Part IV-A-Uses of Funds'!G122</f>
        <v>153844</v>
      </c>
      <c r="H568" s="1861"/>
      <c r="I568" s="1819"/>
      <c r="J568" s="1895" t="str">
        <f>IF(E568&gt;G568,"WARNING! ODR proposed is below minimum - add comment.","")</f>
        <v/>
      </c>
      <c r="K568" s="2089"/>
      <c r="L568" s="2089"/>
      <c r="M568" s="2089"/>
      <c r="N568" s="2089"/>
      <c r="O568" s="1819"/>
      <c r="P568" s="2089"/>
      <c r="Q568" s="2089"/>
      <c r="R568" s="1819"/>
      <c r="S568" s="1861">
        <f>'Part IV-A-Uses of Funds'!S122</f>
        <v>153844</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3435</v>
      </c>
      <c r="F570" s="1864">
        <f>'Part IV-A-Uses of Funds'!F124</f>
        <v>333.33333333333331</v>
      </c>
      <c r="G570" s="1861">
        <f>'Part IV-A-Uses of Funds'!G124</f>
        <v>20000</v>
      </c>
      <c r="H570" s="1861"/>
      <c r="I570" s="1819"/>
      <c r="J570" s="1861">
        <f>'Part IV-A-Uses of Funds'!J124</f>
        <v>20000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Enriched Property Services</v>
      </c>
      <c r="D571" s="1849"/>
      <c r="E571" s="1849"/>
      <c r="F571" s="1849"/>
      <c r="G571" s="1861">
        <f>'Part IV-A-Uses of Funds'!G125</f>
        <v>37248</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37248</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317128</v>
      </c>
      <c r="H572" s="1861"/>
      <c r="I572" s="1819"/>
      <c r="J572" s="1861">
        <f>SUM(J570:K571)</f>
        <v>20000</v>
      </c>
      <c r="K572" s="1861"/>
      <c r="L572" s="1832"/>
      <c r="M572" s="1861">
        <f>SUM(M570:N571)</f>
        <v>0</v>
      </c>
      <c r="N572" s="1861"/>
      <c r="O572" s="1819"/>
      <c r="P572" s="1861">
        <f>SUM(P570:Q571)</f>
        <v>0</v>
      </c>
      <c r="Q572" s="1861"/>
      <c r="R572" s="1819"/>
      <c r="S572" s="1861">
        <f>SUM(S566:T571)</f>
        <v>297128</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11974075</v>
      </c>
      <c r="H578" s="1861"/>
      <c r="I578" s="1819"/>
      <c r="J578" s="1861">
        <f>J463+J469+J473+J479+J484+J487+J493+J510+J523+J529+J537+J551+J557+J564+J572+J576</f>
        <v>10805667</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1168408</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199567.91666666666</v>
      </c>
      <c r="E580" s="1880"/>
      <c r="F580" s="1821" t="s">
        <v>2674</v>
      </c>
      <c r="G580" s="1880">
        <f>IF('Part I-Project Information'!$P$75=0,0,G578/'Part I-Project Information'!$P$75)</f>
        <v>176.25781997497609</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10805667</v>
      </c>
      <c r="K595" s="1882"/>
      <c r="L595" s="1819"/>
      <c r="M595" s="1882">
        <f>M578</f>
        <v>0</v>
      </c>
      <c r="N595" s="1882"/>
      <c r="O595" s="1819"/>
      <c r="P595" s="1882">
        <f>P578</f>
        <v>0</v>
      </c>
      <c r="Q595" s="1882"/>
      <c r="R595" s="1822" t="s">
        <v>4230</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10805667</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State Boost</v>
      </c>
      <c r="I598" s="1819"/>
      <c r="J598" s="1861">
        <f>'Part IV-A-Uses of Funds'!J152</f>
        <v>1.3</v>
      </c>
      <c r="K598" s="1861"/>
      <c r="L598" s="1819"/>
      <c r="M598" s="1883"/>
      <c r="N598" s="1883"/>
      <c r="O598" s="1819"/>
      <c r="P598" s="1861">
        <f>'Part IV-A-Uses of Funds'!P152</f>
        <v>0</v>
      </c>
      <c r="Q598" s="1861"/>
      <c r="R598" s="1822" t="str">
        <f>'Part IV-A-Uses of Funds'!R152</f>
        <v>Multifamily Rural projects w/out DCA HOME</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14047367.1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14047367.1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1264263.0389999999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1264263</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11974075</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433085</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11540990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13226867.600000001</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11974075</v>
      </c>
      <c r="K615" s="1882"/>
      <c r="L615" s="1882"/>
      <c r="M615" s="1822" t="s">
        <v>4552</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600000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11374075</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1137407.5</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1.42</v>
      </c>
      <c r="K621" s="1888"/>
      <c r="L621" s="1888"/>
      <c r="M621" s="1821" t="s">
        <v>1263</v>
      </c>
      <c r="N621" s="2206">
        <f>'Part IV-A-Uses of Funds'!N175</f>
        <v>0.88</v>
      </c>
      <c r="O621" s="2206"/>
      <c r="P621" s="1821" t="s">
        <v>595</v>
      </c>
      <c r="Q621" s="2206">
        <f>'Part IV-A-Uses of Funds'!Q175</f>
        <v>0.54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800991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800991</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800991</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800991</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 Additionally,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 A reserve will be set aside for $100 month for a (5) year period to be used for supplies for the Healthy Eating Initiative. Within the development budget for the development a service program reserve has been contemplated. This reserve has not been included in basis and will be prefunded to cover the cost of operation for a period of (5) five years. The $6,000 placed in this reserve will be controlled by Vantage Management, LLC.</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2020-091 - The Pointe at St. Martin  -  Hartwell  -  Hart,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1st Year Perm Insurance</v>
      </c>
      <c r="B685" s="2098"/>
      <c r="C685" s="2098"/>
      <c r="D685" s="2098"/>
      <c r="E685" s="2209"/>
      <c r="F685" s="2210" t="str">
        <f>'Part IV-B-Other Items'!F48</f>
        <v>1st year premium must be paid up-front and the development will not have funds from operations to cover the cost at that time thus it is included in the development budget.</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16200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Enriched Property Services</v>
      </c>
      <c r="B708" s="2098"/>
      <c r="C708" s="2098"/>
      <c r="D708" s="2098"/>
      <c r="E708" s="2209"/>
      <c r="F708" s="2210" t="str">
        <f>'Part IV-B-Other Items'!F71</f>
        <v>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Flats at Aberdeen, LP a service program reserve has been contemplated. This reserve has not been included in basis and will be pre-funded to cover the cost of operation for a period of three years. The $31,248 placed in this reserve will be controlled by Vantage Management, LLC.</v>
      </c>
      <c r="G708" s="1891"/>
      <c r="H708" s="2210" t="str">
        <f>'Part IV-B-Other Items'!H71</f>
        <v xml:space="preserve">This amount has not been included in basis. </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37248</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2020-091 The Pointe at St. Martin,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North</v>
      </c>
    </row>
    <row r="725" spans="1:13">
      <c r="A725" s="1918" t="s">
        <v>3611</v>
      </c>
    </row>
    <row r="727" spans="1:13">
      <c r="A727" s="1995" t="s">
        <v>598</v>
      </c>
      <c r="B727" s="1995" t="s">
        <v>2171</v>
      </c>
      <c r="F727" s="1815" t="s">
        <v>2453</v>
      </c>
      <c r="G727" s="1815"/>
      <c r="H727" s="1815"/>
      <c r="I727" s="1815" t="str">
        <f>'Part V-Utility Allowances'!I7</f>
        <v>DCA Northern Region - Low-rise Apartements</v>
      </c>
      <c r="J727" s="1815"/>
      <c r="K727" s="1815"/>
      <c r="L727" s="1815"/>
      <c r="M727" s="1815"/>
    </row>
    <row r="728" spans="1:13">
      <c r="F728" s="1815" t="s">
        <v>618</v>
      </c>
      <c r="G728" s="1815"/>
      <c r="H728" s="1815"/>
      <c r="I728" s="2211">
        <f>'Part V-Utility Allowances'!I8</f>
        <v>43831</v>
      </c>
      <c r="J728" s="2211"/>
      <c r="K728" s="1896" t="s">
        <v>525</v>
      </c>
      <c r="L728" s="1815" t="str">
        <f>'Part V-Utility Allowances'!L8</f>
        <v>2-Story Walkup</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7</v>
      </c>
      <c r="K735" s="1896">
        <f>'Part V-Utility Allowances'!K15</f>
        <v>9</v>
      </c>
      <c r="L735" s="1896">
        <f>'Part V-Utility Allowances'!L15</f>
        <v>12</v>
      </c>
      <c r="M735" s="1896">
        <f>'Part V-Utility Allowances'!M15</f>
        <v>0</v>
      </c>
    </row>
    <row r="736" spans="1:13">
      <c r="B736" s="1815" t="s">
        <v>3608</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6808</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105</v>
      </c>
      <c r="K742" s="1896">
        <f>IF(SUM(K732:K741)=0,0,IF(OR($D732="&lt;&lt;Select Fuel &gt;&gt;",$D733="&lt;&lt;Select Fuel &gt;&gt;",$D734="&lt;&lt;Select Fuel &gt;&gt;"),"Select Fuel",IF($E739="&lt;Select&gt;","Submeter?",SUM(K732:K741))))</f>
        <v>129</v>
      </c>
      <c r="L742" s="1896">
        <f>IF(SUM(L732:L741)=0,0,IF(OR($D732="&lt;&lt;Select Fuel &gt;&gt;",$D733="&lt;&lt;Select Fuel &gt;&gt;",$D734="&lt;&lt;Select Fuel &gt;&gt;"),"Select Fuel",IF($E739="&lt;Select&gt;","Submeter?",SUM(L732:L741))))</f>
        <v>163</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2020-091 The Pointe at St. Martin, ,  County</v>
      </c>
      <c r="T770" s="1815" t="str">
        <f>A770</f>
        <v>PART SIX - PROJECTED REVENUES &amp; EXPENSES  -  2020-091 The Pointe at St. Martin,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2"/>
      <c r="IA771" s="2252"/>
      <c r="IB771" s="2252"/>
      <c r="IC771" s="2252"/>
      <c r="ID771" s="2252"/>
      <c r="IE771" s="2252"/>
      <c r="IF771" s="2252"/>
      <c r="IG771" s="2252"/>
      <c r="IH771" s="2252"/>
      <c r="II771" s="2252"/>
      <c r="IJ771" s="2252"/>
      <c r="IK771" s="2252"/>
      <c r="IL771" s="2252"/>
      <c r="IM771" s="2252"/>
      <c r="IN771" s="2252"/>
      <c r="IO771" s="2252"/>
      <c r="IP771" s="2252"/>
      <c r="IQ771" s="2252"/>
      <c r="IR771" s="2252"/>
      <c r="IS771" s="2252"/>
      <c r="IT771" s="2252"/>
      <c r="IU771" s="2252"/>
      <c r="IV771" s="2252"/>
      <c r="IW771" s="2252"/>
      <c r="IX771" s="2252"/>
      <c r="IY771" s="2252"/>
      <c r="IZ771" s="2252"/>
      <c r="JA771" s="2252"/>
      <c r="JB771" s="2252"/>
      <c r="JC771" s="2252"/>
      <c r="JD771" s="2252"/>
      <c r="JE771" s="2252"/>
      <c r="JF771" s="2252"/>
      <c r="JG771" s="2252"/>
      <c r="JH771" s="2252"/>
      <c r="JI771" s="2252"/>
      <c r="JJ771" s="2252"/>
      <c r="JK771" s="2252"/>
      <c r="JL771" s="2252"/>
      <c r="JM771" s="2252"/>
      <c r="JN771" s="2252"/>
      <c r="JO771" s="2252"/>
      <c r="JP771" s="2252"/>
      <c r="JQ771" s="2252"/>
      <c r="JR771" s="2252"/>
      <c r="JS771" s="2252"/>
      <c r="JT771" s="2252"/>
      <c r="JU771" s="2252"/>
      <c r="JV771" s="2252"/>
      <c r="JW771" s="2252"/>
      <c r="JX771" s="2252"/>
      <c r="JY771" s="2252"/>
      <c r="JZ771" s="2252"/>
      <c r="KA771" s="2252"/>
      <c r="KB771" s="2252"/>
      <c r="KC771" s="2252"/>
      <c r="KD771" s="2252"/>
      <c r="KE771" s="2252"/>
      <c r="KF771" s="2252"/>
      <c r="KG771" s="2252"/>
      <c r="KH771" s="2252"/>
      <c r="KI771" s="2252"/>
      <c r="KJ771" s="2252"/>
      <c r="KK771" s="2252"/>
      <c r="KL771" s="2252"/>
      <c r="KM771" s="2252"/>
      <c r="KN771" s="2252"/>
      <c r="KO771" s="2252"/>
      <c r="KP771" s="2252"/>
      <c r="KQ771" s="2252"/>
      <c r="KR771" s="2252"/>
      <c r="KS771" s="2252"/>
      <c r="KT771" s="2252"/>
      <c r="KU771" s="2252"/>
      <c r="KV771" s="2252"/>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2" t="s">
        <v>476</v>
      </c>
      <c r="IF772" s="2252" t="s">
        <v>2377</v>
      </c>
      <c r="IG772" s="2252" t="s">
        <v>2378</v>
      </c>
      <c r="IH772" s="2252" t="s">
        <v>2379</v>
      </c>
      <c r="II772" s="2252" t="s">
        <v>2380</v>
      </c>
      <c r="IJ772" s="2252" t="s">
        <v>476</v>
      </c>
      <c r="IK772" s="2252" t="s">
        <v>2377</v>
      </c>
      <c r="IL772" s="2252" t="s">
        <v>2378</v>
      </c>
      <c r="IM772" s="2252" t="s">
        <v>2379</v>
      </c>
      <c r="IN772" s="2252" t="s">
        <v>2380</v>
      </c>
      <c r="IO772" s="1732"/>
      <c r="IP772" s="1732"/>
      <c r="IQ772" s="1732"/>
      <c r="IR772" s="1732"/>
      <c r="IS772" s="1732"/>
      <c r="IT772" s="1732"/>
      <c r="IU772" s="1732"/>
      <c r="IV772" s="1732"/>
      <c r="IW772" s="1732"/>
      <c r="IX772" s="1732"/>
      <c r="IY772" s="2252" t="s">
        <v>476</v>
      </c>
      <c r="IZ772" s="2252" t="s">
        <v>2377</v>
      </c>
      <c r="JA772" s="2252" t="s">
        <v>2378</v>
      </c>
      <c r="JB772" s="2252" t="s">
        <v>2379</v>
      </c>
      <c r="JC772" s="2252" t="s">
        <v>2380</v>
      </c>
      <c r="JD772" s="2252" t="s">
        <v>476</v>
      </c>
      <c r="JE772" s="2252" t="s">
        <v>2377</v>
      </c>
      <c r="JF772" s="2252" t="s">
        <v>2378</v>
      </c>
      <c r="JG772" s="2252" t="s">
        <v>2379</v>
      </c>
      <c r="JH772" s="2252" t="s">
        <v>2380</v>
      </c>
      <c r="JI772" s="2252" t="s">
        <v>476</v>
      </c>
      <c r="JJ772" s="2252" t="s">
        <v>2377</v>
      </c>
      <c r="JK772" s="2252" t="s">
        <v>2378</v>
      </c>
      <c r="JL772" s="2252" t="s">
        <v>2379</v>
      </c>
      <c r="JM772" s="2252" t="s">
        <v>2380</v>
      </c>
      <c r="JN772" s="2252" t="s">
        <v>476</v>
      </c>
      <c r="JO772" s="2252" t="s">
        <v>2377</v>
      </c>
      <c r="JP772" s="2252" t="s">
        <v>2378</v>
      </c>
      <c r="JQ772" s="2252" t="s">
        <v>2379</v>
      </c>
      <c r="JR772" s="2252" t="s">
        <v>2380</v>
      </c>
      <c r="JS772" s="2252" t="s">
        <v>476</v>
      </c>
      <c r="JT772" s="2252" t="s">
        <v>2377</v>
      </c>
      <c r="JU772" s="2252" t="s">
        <v>2378</v>
      </c>
      <c r="JV772" s="2252" t="s">
        <v>2379</v>
      </c>
      <c r="JW772" s="2252" t="s">
        <v>2380</v>
      </c>
      <c r="JX772" s="2252" t="s">
        <v>476</v>
      </c>
      <c r="JY772" s="2252" t="s">
        <v>2377</v>
      </c>
      <c r="JZ772" s="2252" t="s">
        <v>2378</v>
      </c>
      <c r="KA772" s="2252" t="s">
        <v>2379</v>
      </c>
      <c r="KB772" s="2252" t="s">
        <v>2380</v>
      </c>
      <c r="KC772" s="2252" t="s">
        <v>476</v>
      </c>
      <c r="KD772" s="2252" t="s">
        <v>2377</v>
      </c>
      <c r="KE772" s="2252" t="s">
        <v>2378</v>
      </c>
      <c r="KF772" s="2252" t="s">
        <v>2379</v>
      </c>
      <c r="KG772" s="2252" t="s">
        <v>2380</v>
      </c>
      <c r="KH772" s="2252" t="s">
        <v>476</v>
      </c>
      <c r="KI772" s="2252" t="s">
        <v>2377</v>
      </c>
      <c r="KJ772" s="2252" t="s">
        <v>2378</v>
      </c>
      <c r="KK772" s="2252" t="s">
        <v>2379</v>
      </c>
      <c r="KL772" s="2252" t="s">
        <v>2380</v>
      </c>
      <c r="KM772" s="2252" t="s">
        <v>476</v>
      </c>
      <c r="KN772" s="2252" t="s">
        <v>2377</v>
      </c>
      <c r="KO772" s="2252" t="s">
        <v>2378</v>
      </c>
      <c r="KP772" s="2252" t="s">
        <v>2379</v>
      </c>
      <c r="KQ772" s="2252" t="s">
        <v>2380</v>
      </c>
      <c r="KR772" s="2252" t="s">
        <v>476</v>
      </c>
      <c r="KS772" s="2252" t="s">
        <v>2377</v>
      </c>
      <c r="KT772" s="2252" t="s">
        <v>2378</v>
      </c>
      <c r="KU772" s="2252" t="s">
        <v>2379</v>
      </c>
      <c r="KV772" s="2252" t="s">
        <v>2380</v>
      </c>
      <c r="KW772" s="2252" t="s">
        <v>476</v>
      </c>
      <c r="KX772" s="2252" t="s">
        <v>2377</v>
      </c>
      <c r="KY772" s="2252" t="s">
        <v>2378</v>
      </c>
      <c r="KZ772" s="2252" t="s">
        <v>2379</v>
      </c>
      <c r="LA772" s="2252" t="s">
        <v>2380</v>
      </c>
      <c r="LB772" s="2252" t="s">
        <v>476</v>
      </c>
      <c r="LC772" s="2252" t="s">
        <v>2377</v>
      </c>
      <c r="LD772" s="2252" t="s">
        <v>2378</v>
      </c>
      <c r="LE772" s="2252" t="s">
        <v>2379</v>
      </c>
      <c r="LF772" s="2252" t="s">
        <v>2380</v>
      </c>
      <c r="LG772" s="2252" t="s">
        <v>476</v>
      </c>
      <c r="LH772" s="2252" t="s">
        <v>2377</v>
      </c>
      <c r="LI772" s="2252" t="s">
        <v>2378</v>
      </c>
      <c r="LJ772" s="2252" t="s">
        <v>2379</v>
      </c>
      <c r="LK772" s="2252" t="s">
        <v>2380</v>
      </c>
      <c r="LL772" s="2252" t="s">
        <v>476</v>
      </c>
      <c r="LM772" s="2252" t="s">
        <v>2377</v>
      </c>
      <c r="LN772" s="2252" t="s">
        <v>2378</v>
      </c>
      <c r="LO772" s="2252" t="s">
        <v>2379</v>
      </c>
      <c r="LP772" s="2252"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6822</v>
      </c>
      <c r="R773" s="2252"/>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4137</v>
      </c>
      <c r="AS773" s="1918" t="s">
        <v>4138</v>
      </c>
      <c r="AT773" s="1918" t="s">
        <v>4139</v>
      </c>
      <c r="AU773" s="1918" t="s">
        <v>4140</v>
      </c>
      <c r="AV773" s="1918" t="s">
        <v>4136</v>
      </c>
      <c r="AW773" s="1918" t="s">
        <v>900</v>
      </c>
      <c r="AX773" s="1918" t="s">
        <v>2255</v>
      </c>
      <c r="AY773" s="1918" t="s">
        <v>2256</v>
      </c>
      <c r="AZ773" s="1918" t="s">
        <v>2257</v>
      </c>
      <c r="BA773" s="1918" t="s">
        <v>2258</v>
      </c>
      <c r="BB773" s="1918" t="s">
        <v>4141</v>
      </c>
      <c r="BC773" s="1918" t="s">
        <v>4142</v>
      </c>
      <c r="BD773" s="1918" t="s">
        <v>4143</v>
      </c>
      <c r="BE773" s="1918" t="s">
        <v>4144</v>
      </c>
      <c r="BF773" s="1918" t="s">
        <v>4145</v>
      </c>
      <c r="BG773" s="1918" t="s">
        <v>126</v>
      </c>
      <c r="BH773" s="1918" t="s">
        <v>2259</v>
      </c>
      <c r="BI773" s="1918" t="s">
        <v>2260</v>
      </c>
      <c r="BJ773" s="1918" t="s">
        <v>2261</v>
      </c>
      <c r="BK773" s="1918" t="s">
        <v>1126</v>
      </c>
      <c r="BL773" s="1918" t="s">
        <v>4146</v>
      </c>
      <c r="BM773" s="1918" t="s">
        <v>4147</v>
      </c>
      <c r="BN773" s="1918" t="s">
        <v>4148</v>
      </c>
      <c r="BO773" s="1918" t="s">
        <v>4149</v>
      </c>
      <c r="BP773" s="1918" t="s">
        <v>4150</v>
      </c>
      <c r="BQ773" s="1918" t="s">
        <v>540</v>
      </c>
      <c r="BR773" s="1918" t="s">
        <v>541</v>
      </c>
      <c r="BS773" s="1918" t="s">
        <v>560</v>
      </c>
      <c r="BT773" s="1918" t="s">
        <v>561</v>
      </c>
      <c r="BU773" s="1918" t="s">
        <v>562</v>
      </c>
      <c r="BV773" s="1918" t="s">
        <v>4151</v>
      </c>
      <c r="BW773" s="1918" t="s">
        <v>4152</v>
      </c>
      <c r="BX773" s="1918" t="s">
        <v>4153</v>
      </c>
      <c r="BY773" s="1918" t="s">
        <v>4154</v>
      </c>
      <c r="BZ773" s="1918" t="s">
        <v>4155</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485</v>
      </c>
      <c r="DA773" s="1918" t="s">
        <v>486</v>
      </c>
      <c r="DB773" s="1918" t="s">
        <v>487</v>
      </c>
      <c r="DC773" s="1918" t="s">
        <v>488</v>
      </c>
      <c r="DD773" s="1918" t="s">
        <v>489</v>
      </c>
      <c r="DE773" s="1918" t="s">
        <v>4171</v>
      </c>
      <c r="DF773" s="1918" t="s">
        <v>4172</v>
      </c>
      <c r="DG773" s="1918" t="s">
        <v>4173</v>
      </c>
      <c r="DH773" s="1918" t="s">
        <v>4174</v>
      </c>
      <c r="DI773" s="1918" t="s">
        <v>4175</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2367</v>
      </c>
      <c r="EE773" s="1918" t="s">
        <v>2368</v>
      </c>
      <c r="EF773" s="1918" t="s">
        <v>2369</v>
      </c>
      <c r="EG773" s="1918" t="s">
        <v>2370</v>
      </c>
      <c r="EH773" s="1918" t="s">
        <v>2371</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4196</v>
      </c>
      <c r="FD773" s="1918" t="s">
        <v>4197</v>
      </c>
      <c r="FE773" s="1918" t="s">
        <v>4198</v>
      </c>
      <c r="FF773" s="1918" t="s">
        <v>4199</v>
      </c>
      <c r="FG773" s="1918" t="s">
        <v>4200</v>
      </c>
      <c r="FH773" s="1995" t="s">
        <v>128</v>
      </c>
      <c r="FI773" s="1995" t="s">
        <v>890</v>
      </c>
      <c r="FJ773" s="1995" t="s">
        <v>891</v>
      </c>
      <c r="FK773" s="1995" t="s">
        <v>892</v>
      </c>
      <c r="FL773" s="1995" t="s">
        <v>893</v>
      </c>
      <c r="FM773" s="1918" t="s">
        <v>4201</v>
      </c>
      <c r="FN773" s="1918" t="s">
        <v>4202</v>
      </c>
      <c r="FO773" s="1918" t="s">
        <v>4203</v>
      </c>
      <c r="FP773" s="1918" t="s">
        <v>4204</v>
      </c>
      <c r="FQ773" s="1918" t="s">
        <v>4205</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4793</v>
      </c>
      <c r="K774" s="1732" t="s">
        <v>3433</v>
      </c>
      <c r="L774" s="2102" t="str">
        <f>'Part I-Project Information'!$B$6</f>
        <v>May 26, 2020 Version</v>
      </c>
      <c r="M774" s="2103"/>
      <c r="N774" s="1922" t="s">
        <v>559</v>
      </c>
      <c r="P774" s="1896" t="s">
        <v>6823</v>
      </c>
      <c r="Q774" s="1918"/>
      <c r="R774" s="2252"/>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No</v>
      </c>
      <c r="G775" s="1732" t="s">
        <v>3490</v>
      </c>
      <c r="H775" s="1918" t="s">
        <v>3663</v>
      </c>
      <c r="I775" s="1918"/>
      <c r="J775" s="1732" t="s">
        <v>778</v>
      </c>
      <c r="K775" s="1732" t="s">
        <v>3493</v>
      </c>
      <c r="L775" s="2103"/>
      <c r="M775" s="2103"/>
      <c r="N775" s="2104" t="str">
        <f>'Part I-Project Information'!$O$40</f>
        <v>Hart Co.</v>
      </c>
      <c r="O775" s="2104"/>
      <c r="P775" s="1916">
        <f>VLOOKUP('Part I-Project Information'!$O$40,'DCA Underwriting Assumptions'!$C$173:$D$283,2)</f>
        <v>50900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3491</v>
      </c>
      <c r="H776" s="1918"/>
      <c r="I776" s="1918"/>
      <c r="J776" s="1732" t="s">
        <v>779</v>
      </c>
      <c r="K776" s="1732" t="s">
        <v>3494</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530</v>
      </c>
      <c r="E777" s="1732" t="s">
        <v>1445</v>
      </c>
      <c r="F777" s="1732" t="s">
        <v>1445</v>
      </c>
      <c r="G777" s="1732" t="s">
        <v>1447</v>
      </c>
      <c r="H777" s="1732" t="s">
        <v>3491</v>
      </c>
      <c r="J777" s="2105" t="s">
        <v>4475</v>
      </c>
      <c r="K777" s="1732" t="s">
        <v>6970</v>
      </c>
      <c r="L777" s="1897" t="s">
        <v>142</v>
      </c>
      <c r="M777" s="1897"/>
      <c r="N777" s="1732" t="s">
        <v>2307</v>
      </c>
      <c r="O777" s="1732" t="s">
        <v>4788</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3260</v>
      </c>
      <c r="IK777" s="1995" t="s">
        <v>3260</v>
      </c>
      <c r="IL777" s="1995" t="s">
        <v>3260</v>
      </c>
      <c r="IM777" s="1995" t="s">
        <v>3260</v>
      </c>
      <c r="IN777" s="1995" t="s">
        <v>3260</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3210</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v>
      </c>
      <c r="F786" s="2215">
        <f>'Part VI-Revenues &amp; Expenses'!F17</f>
        <v>830</v>
      </c>
      <c r="G786" s="2215">
        <f>'Part VI-Revenues &amp; Expenses'!G17</f>
        <v>568</v>
      </c>
      <c r="H786" s="2215">
        <f>'Part VI-Revenues &amp; Expenses'!H17</f>
        <v>460</v>
      </c>
      <c r="I786" s="2215">
        <f>'Part VI-Revenues &amp; Expenses'!I17</f>
        <v>0</v>
      </c>
      <c r="J786" s="2215">
        <f>'Part VI-Revenues &amp; Expenses'!J17</f>
        <v>105</v>
      </c>
      <c r="K786" s="2216">
        <f>'Part VI-Revenues &amp; Expenses'!K17</f>
        <v>0</v>
      </c>
      <c r="L786" s="1899">
        <f t="shared" si="0"/>
        <v>355</v>
      </c>
      <c r="M786" s="1899">
        <f t="shared" si="1"/>
        <v>710</v>
      </c>
      <c r="N786" s="2074" t="str">
        <f>'Part VI-Revenues &amp; Expenses'!N17</f>
        <v>No</v>
      </c>
      <c r="O786" s="2074" t="str">
        <f>'Part VI-Revenues &amp; Expenses'!O17</f>
        <v>2-Story Walkup</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1660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f t="shared" si="278"/>
        <v>2</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6</v>
      </c>
      <c r="F787" s="2215">
        <f>'Part VI-Revenues &amp; Expenses'!F18</f>
        <v>1055</v>
      </c>
      <c r="G787" s="2215">
        <f>'Part VI-Revenues &amp; Expenses'!G18</f>
        <v>681</v>
      </c>
      <c r="H787" s="2215">
        <f>'Part VI-Revenues &amp; Expenses'!H18</f>
        <v>549</v>
      </c>
      <c r="I787" s="2215">
        <f>'Part VI-Revenues &amp; Expenses'!I18</f>
        <v>0</v>
      </c>
      <c r="J787" s="2215">
        <f>'Part VI-Revenues &amp; Expenses'!J18</f>
        <v>129</v>
      </c>
      <c r="K787" s="2216">
        <f>'Part VI-Revenues &amp; Expenses'!K18</f>
        <v>0</v>
      </c>
      <c r="L787" s="1899">
        <f t="shared" si="0"/>
        <v>420</v>
      </c>
      <c r="M787" s="1899">
        <f t="shared" si="1"/>
        <v>2520</v>
      </c>
      <c r="N787" s="2074" t="str">
        <f>'Part VI-Revenues &amp; Expenses'!N18</f>
        <v>No</v>
      </c>
      <c r="O787" s="2074" t="str">
        <f>'Part VI-Revenues &amp; Expenses'!O18</f>
        <v>2-Story Walkup</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6</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6330</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6</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6</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f t="shared" si="279"/>
        <v>6</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6</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3</v>
      </c>
      <c r="D788" s="2214">
        <f>'Part VI-Revenues &amp; Expenses'!D19</f>
        <v>2</v>
      </c>
      <c r="E788" s="2215">
        <f>'Part VI-Revenues &amp; Expenses'!E19</f>
        <v>4</v>
      </c>
      <c r="F788" s="2215">
        <f>'Part VI-Revenues &amp; Expenses'!F19</f>
        <v>1301</v>
      </c>
      <c r="G788" s="2215">
        <f>'Part VI-Revenues &amp; Expenses'!G19</f>
        <v>787</v>
      </c>
      <c r="H788" s="2215">
        <f>'Part VI-Revenues &amp; Expenses'!H19</f>
        <v>638</v>
      </c>
      <c r="I788" s="2215">
        <f>'Part VI-Revenues &amp; Expenses'!I19</f>
        <v>0</v>
      </c>
      <c r="J788" s="2215">
        <f>'Part VI-Revenues &amp; Expenses'!J19</f>
        <v>163</v>
      </c>
      <c r="K788" s="2216">
        <f>'Part VI-Revenues &amp; Expenses'!K19</f>
        <v>0</v>
      </c>
      <c r="L788" s="1899">
        <f t="shared" si="0"/>
        <v>475</v>
      </c>
      <c r="M788" s="1899">
        <f t="shared" si="1"/>
        <v>1900</v>
      </c>
      <c r="N788" s="2074" t="str">
        <f>'Part VI-Revenues &amp; Expenses'!N19</f>
        <v>No</v>
      </c>
      <c r="O788" s="2074" t="str">
        <f>'Part VI-Revenues &amp; Expenses'!O19</f>
        <v>2-Story Walkup</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f t="shared" si="20"/>
        <v>4</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f t="shared" si="135"/>
        <v>5204</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4</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4</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f t="shared" si="280"/>
        <v>4</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4</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6</v>
      </c>
      <c r="F789" s="2215">
        <f>'Part VI-Revenues &amp; Expenses'!F20</f>
        <v>830</v>
      </c>
      <c r="G789" s="2215">
        <f>'Part VI-Revenues &amp; Expenses'!G20</f>
        <v>681</v>
      </c>
      <c r="H789" s="2215">
        <f>'Part VI-Revenues &amp; Expenses'!H20</f>
        <v>497</v>
      </c>
      <c r="I789" s="2215">
        <f>'Part VI-Revenues &amp; Expenses'!I20</f>
        <v>0</v>
      </c>
      <c r="J789" s="2215">
        <f>'Part VI-Revenues &amp; Expenses'!J20</f>
        <v>105</v>
      </c>
      <c r="K789" s="2216">
        <f>'Part VI-Revenues &amp; Expenses'!K20</f>
        <v>0</v>
      </c>
      <c r="L789" s="1899">
        <f t="shared" si="0"/>
        <v>392</v>
      </c>
      <c r="M789" s="1899">
        <f t="shared" si="1"/>
        <v>2352</v>
      </c>
      <c r="N789" s="2074" t="str">
        <f>'Part VI-Revenues &amp; Expenses'!N20</f>
        <v>No</v>
      </c>
      <c r="O789" s="2074" t="str">
        <f>'Part VI-Revenues &amp; Expenses'!O20</f>
        <v>2-Story Walkup</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6</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4980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6</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6</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f t="shared" si="278"/>
        <v>6</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6</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30</v>
      </c>
      <c r="F790" s="2215">
        <f>'Part VI-Revenues &amp; Expenses'!F21</f>
        <v>1055</v>
      </c>
      <c r="G790" s="2215">
        <f>'Part VI-Revenues &amp; Expenses'!G21</f>
        <v>817</v>
      </c>
      <c r="H790" s="2215">
        <f>'Part VI-Revenues &amp; Expenses'!H21</f>
        <v>654</v>
      </c>
      <c r="I790" s="2215">
        <f>'Part VI-Revenues &amp; Expenses'!I21</f>
        <v>0</v>
      </c>
      <c r="J790" s="2215">
        <f>'Part VI-Revenues &amp; Expenses'!J21</f>
        <v>129</v>
      </c>
      <c r="K790" s="2216">
        <f>'Part VI-Revenues &amp; Expenses'!K21</f>
        <v>0</v>
      </c>
      <c r="L790" s="1899">
        <f t="shared" si="0"/>
        <v>525</v>
      </c>
      <c r="M790" s="1899">
        <f t="shared" si="1"/>
        <v>15750</v>
      </c>
      <c r="N790" s="2074" t="str">
        <f>'Part VI-Revenues &amp; Expenses'!N21</f>
        <v>No</v>
      </c>
      <c r="O790" s="2074" t="str">
        <f>'Part VI-Revenues &amp; Expenses'!O21</f>
        <v>2-Story Walkup</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30</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31650</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30</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30</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f t="shared" si="279"/>
        <v>30</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30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12</v>
      </c>
      <c r="F791" s="2215">
        <f>'Part VI-Revenues &amp; Expenses'!F22</f>
        <v>1301</v>
      </c>
      <c r="G791" s="2215">
        <f>'Part VI-Revenues &amp; Expenses'!G22</f>
        <v>945</v>
      </c>
      <c r="H791" s="2215">
        <f>'Part VI-Revenues &amp; Expenses'!H22</f>
        <v>745</v>
      </c>
      <c r="I791" s="2215">
        <f>'Part VI-Revenues &amp; Expenses'!I22</f>
        <v>0</v>
      </c>
      <c r="J791" s="2215">
        <f>'Part VI-Revenues &amp; Expenses'!J22</f>
        <v>163</v>
      </c>
      <c r="K791" s="2216">
        <f>'Part VI-Revenues &amp; Expenses'!K22</f>
        <v>0</v>
      </c>
      <c r="L791" s="1899">
        <f t="shared" si="0"/>
        <v>582</v>
      </c>
      <c r="M791" s="1899">
        <f t="shared" si="1"/>
        <v>6984</v>
      </c>
      <c r="N791" s="2074" t="str">
        <f>'Part VI-Revenues &amp; Expenses'!N22</f>
        <v>No</v>
      </c>
      <c r="O791" s="2074" t="str">
        <f>'Part VI-Revenues &amp; Expenses'!O22</f>
        <v>2-Story Walkup</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12</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15612</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12</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12</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f t="shared" si="280"/>
        <v>12</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12</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996</v>
      </c>
      <c r="E817" s="1901">
        <f>SUM(E779:E816)</f>
        <v>60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65436</v>
      </c>
      <c r="H817" s="2107" t="s">
        <v>4210</v>
      </c>
      <c r="I817" s="1229" t="s">
        <v>4211</v>
      </c>
      <c r="J817" s="1903" t="str">
        <f>IF(P836=0,"",IF(SUM(P827:P831)/P836&gt;=0.4,"Pass","Fail"))</f>
        <v>Pass</v>
      </c>
      <c r="K817" s="450"/>
      <c r="L817" s="1904" t="s">
        <v>1276</v>
      </c>
      <c r="M817" s="1905">
        <f>SUM(M779:M816)</f>
        <v>30216</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30</v>
      </c>
      <c r="AK817" s="1900">
        <f t="shared" si="348"/>
        <v>12</v>
      </c>
      <c r="AL817" s="1900">
        <f t="shared" si="348"/>
        <v>0</v>
      </c>
      <c r="AM817" s="1900">
        <f>SUM(AM779:AM816)</f>
        <v>0</v>
      </c>
      <c r="AN817" s="1900">
        <f>SUM(AN779:AN816)</f>
        <v>2</v>
      </c>
      <c r="AO817" s="1900">
        <f>SUM(AO779:AO816)</f>
        <v>6</v>
      </c>
      <c r="AP817" s="1900">
        <f>SUM(AP779:AP816)</f>
        <v>4</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4980</v>
      </c>
      <c r="EU817" s="1900">
        <f t="shared" si="348"/>
        <v>31650</v>
      </c>
      <c r="EV817" s="1900">
        <f t="shared" si="348"/>
        <v>15612</v>
      </c>
      <c r="EW817" s="1900">
        <f t="shared" si="348"/>
        <v>0</v>
      </c>
      <c r="EX817" s="1900">
        <f t="shared" si="348"/>
        <v>0</v>
      </c>
      <c r="EY817" s="1900">
        <f t="shared" si="348"/>
        <v>1660</v>
      </c>
      <c r="EZ817" s="1900">
        <f t="shared" si="348"/>
        <v>6330</v>
      </c>
      <c r="FA817" s="1900">
        <f t="shared" si="348"/>
        <v>5204</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36</v>
      </c>
      <c r="GJ817" s="1900">
        <f t="shared" si="350"/>
        <v>16</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8</v>
      </c>
      <c r="IB817" s="1900">
        <f t="shared" si="351"/>
        <v>36</v>
      </c>
      <c r="IC817" s="1900">
        <f t="shared" si="351"/>
        <v>16</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8</v>
      </c>
      <c r="KO817" s="1900">
        <f t="shared" si="352"/>
        <v>36</v>
      </c>
      <c r="KP817" s="1900">
        <f t="shared" si="352"/>
        <v>16</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36</v>
      </c>
      <c r="MX817" s="1900">
        <f t="shared" si="352"/>
        <v>16</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8"/>
      <c r="D818" s="1896" t="s">
        <v>4120</v>
      </c>
      <c r="E818" s="1901">
        <f>SUM(E786:E816)</f>
        <v>60</v>
      </c>
      <c r="F818" s="1902">
        <f>(E786*F786+E787*F787+E788*F788+E789*F789+E790*F790+E791*F791+E792*F792+E793*F793+E794*F794+E795*F795+E796*F796+E797*F797+E798*F798+E799*F799+E800*F800+E801*F801+E802*F802+E803*F803+E804*F804+E805*F805+E806*F806+E807*F807+E808*F808+E809*F809+E810*F810+E811*F811+E812*F812+E813*F813+E814*F814+E815*F815+E816*F816)</f>
        <v>65436</v>
      </c>
      <c r="H818" s="2107"/>
      <c r="I818" s="1229" t="s">
        <v>4212</v>
      </c>
      <c r="J818" s="1903" t="str">
        <f>IF(P836=0,"",IF(SUM(P828:P831)/P836&gt;=0.2,"Pass","Fail"))</f>
        <v>Pass</v>
      </c>
      <c r="K818" s="450"/>
      <c r="L818" s="1904" t="s">
        <v>794</v>
      </c>
      <c r="M818" s="1905">
        <f>M817*12</f>
        <v>362592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30</v>
      </c>
      <c r="N827" s="1906">
        <f>AK817</f>
        <v>12</v>
      </c>
      <c r="O827" s="1906">
        <f>AL817</f>
        <v>0</v>
      </c>
      <c r="P827" s="1906">
        <f t="shared" si="353"/>
        <v>48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6</v>
      </c>
      <c r="N828" s="1906">
        <f>AP817</f>
        <v>4</v>
      </c>
      <c r="O828" s="1906">
        <f>AQ817</f>
        <v>0</v>
      </c>
      <c r="P828" s="1906">
        <f t="shared" si="353"/>
        <v>12</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8</v>
      </c>
      <c r="M832" s="1906">
        <f>SUM(M825:M831)</f>
        <v>36</v>
      </c>
      <c r="N832" s="1906">
        <f>SUM(N825:N831)</f>
        <v>16</v>
      </c>
      <c r="O832" s="1906">
        <f>SUM(O825:O831)</f>
        <v>0</v>
      </c>
      <c r="P832" s="1906">
        <f t="shared" si="353"/>
        <v>60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36</v>
      </c>
      <c r="N834" s="1906">
        <f>SUM(N832:N833)</f>
        <v>16</v>
      </c>
      <c r="O834" s="1906">
        <f>SUM(O832:O833)</f>
        <v>0</v>
      </c>
      <c r="P834" s="1906">
        <f t="shared" si="353"/>
        <v>60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36</v>
      </c>
      <c r="N836" s="1906">
        <f>SUM(N834:N835)</f>
        <v>16</v>
      </c>
      <c r="O836" s="1906">
        <f>SUM(O834:O835)</f>
        <v>0</v>
      </c>
      <c r="P836" s="1906">
        <f t="shared" si="353"/>
        <v>60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2"/>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2"/>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2"/>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2"/>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2"/>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8</v>
      </c>
      <c r="M882" s="1906">
        <f>GI817</f>
        <v>36</v>
      </c>
      <c r="N882" s="1906">
        <f>GJ817</f>
        <v>16</v>
      </c>
      <c r="O882" s="1906">
        <f>GK817</f>
        <v>0</v>
      </c>
      <c r="P882" s="1906">
        <f t="shared" ref="P882:P892" si="377">SUM(K882:O882)</f>
        <v>60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36</v>
      </c>
      <c r="N884" s="1906">
        <f>SUM(N882:N883)+GT817</f>
        <v>16</v>
      </c>
      <c r="O884" s="1906">
        <f>SUM(O882:O883)+GU817</f>
        <v>0</v>
      </c>
      <c r="P884" s="1906">
        <f t="shared" si="377"/>
        <v>60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2"/>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8</v>
      </c>
      <c r="M896" s="1906">
        <f t="shared" ref="M896:N896" si="378">SUM(M897:M906)</f>
        <v>36</v>
      </c>
      <c r="N896" s="1906">
        <f t="shared" si="378"/>
        <v>16</v>
      </c>
      <c r="O896" s="1906">
        <f>SUM(O897:O906)</f>
        <v>0</v>
      </c>
      <c r="P896" s="1906">
        <f>SUM(P897:P906)</f>
        <v>60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8</v>
      </c>
      <c r="M901" s="1906">
        <f>KO817</f>
        <v>36</v>
      </c>
      <c r="N901" s="1906">
        <f>KP817</f>
        <v>16</v>
      </c>
      <c r="O901" s="1906">
        <f>KQ817</f>
        <v>0</v>
      </c>
      <c r="P901" s="1906">
        <f t="shared" si="379"/>
        <v>60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3246</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8</v>
      </c>
      <c r="M922" s="1906">
        <f t="shared" si="383"/>
        <v>36</v>
      </c>
      <c r="N922" s="1906">
        <f t="shared" si="383"/>
        <v>16</v>
      </c>
      <c r="O922" s="1906">
        <f t="shared" si="383"/>
        <v>0</v>
      </c>
      <c r="P922" s="1906">
        <f t="shared" si="381"/>
        <v>60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2"/>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4980</v>
      </c>
      <c r="M930" s="1915">
        <f>EU817</f>
        <v>31650</v>
      </c>
      <c r="N930" s="1915">
        <f>EV817</f>
        <v>15612</v>
      </c>
      <c r="O930" s="1915">
        <f>EW817</f>
        <v>0</v>
      </c>
      <c r="P930" s="1915">
        <f t="shared" si="385"/>
        <v>52242</v>
      </c>
      <c r="Q930" s="1916">
        <f t="shared" si="386"/>
        <v>1088.375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1660</v>
      </c>
      <c r="M931" s="1915">
        <f>EZ817</f>
        <v>6330</v>
      </c>
      <c r="N931" s="1915">
        <f>FA817</f>
        <v>5204</v>
      </c>
      <c r="O931" s="1915">
        <f>FB817</f>
        <v>0</v>
      </c>
      <c r="P931" s="1915">
        <f t="shared" si="385"/>
        <v>13194</v>
      </c>
      <c r="Q931" s="1916">
        <f t="shared" si="386"/>
        <v>1099.5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6640</v>
      </c>
      <c r="M935" s="1915">
        <f>SUM(M928:M934)</f>
        <v>37980</v>
      </c>
      <c r="N935" s="1915">
        <f>SUM(N928:N934)</f>
        <v>20816</v>
      </c>
      <c r="O935" s="1915">
        <f>SUM(O928:O934)</f>
        <v>0</v>
      </c>
      <c r="P935" s="1915">
        <f>SUM(K935:O935)</f>
        <v>65436</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6640</v>
      </c>
      <c r="M937" s="1915">
        <f>SUM(M935:M936)</f>
        <v>37980</v>
      </c>
      <c r="N937" s="1915">
        <f>SUM(N935:N936)</f>
        <v>20816</v>
      </c>
      <c r="O937" s="1915">
        <f>SUM(O935:O936)</f>
        <v>0</v>
      </c>
      <c r="P937" s="1915">
        <f>SUM(K937:O937)</f>
        <v>65436</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6640</v>
      </c>
      <c r="M939" s="1915">
        <f>SUM(M937:M938)</f>
        <v>37980</v>
      </c>
      <c r="N939" s="1915">
        <f>SUM(N937:N938)</f>
        <v>20816</v>
      </c>
      <c r="O939" s="1915">
        <f>SUM(O937:O938)</f>
        <v>0</v>
      </c>
      <c r="P939" s="1915">
        <f>SUM(K939:O939)</f>
        <v>65436</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830</v>
      </c>
      <c r="M942" s="1917">
        <f>IF(OR(M836="",M836=0),"",M939/M836)</f>
        <v>1055</v>
      </c>
      <c r="N942" s="1917">
        <f>IF(OR(N836="",N836=0),"",N939/N836)</f>
        <v>1301</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7251.84</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30956</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31959</v>
      </c>
      <c r="G989" s="1915"/>
      <c r="I989" s="1815" t="s">
        <v>1351</v>
      </c>
      <c r="L989" s="1915">
        <f>'Part VI-Revenues &amp; Expenses'!L220</f>
        <v>0</v>
      </c>
      <c r="M989" s="1915"/>
      <c r="O989" s="1921">
        <f>+Q988/(P836*0.93)</f>
        <v>554.76702508960568</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31959</v>
      </c>
      <c r="G990" s="1915"/>
      <c r="I990" s="1815" t="s">
        <v>1352</v>
      </c>
      <c r="L990" s="1915">
        <f>'Part VI-Revenues &amp; Expenses'!L221</f>
        <v>0</v>
      </c>
      <c r="M990" s="1915"/>
      <c r="O990" s="1921">
        <f>+Q988/(P836*0.93)/12</f>
        <v>46.230585424133807</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63918</v>
      </c>
      <c r="G995" s="1915"/>
      <c r="I995" s="1815" t="s">
        <v>1569</v>
      </c>
      <c r="L995" s="1915">
        <f>'Part VI-Revenues &amp; Expenses'!L226</f>
        <v>1220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4000</v>
      </c>
      <c r="M996" s="1915"/>
      <c r="N996" s="1897" t="str">
        <f>IF(Q998="","",IF(Q996&lt;Q998, "WARNING! OE below required minimum.",""))</f>
        <v/>
      </c>
      <c r="O996" s="1815" t="s">
        <v>2136</v>
      </c>
      <c r="Q996" s="1917">
        <f>F995+F1004+F1015+L991+L999+L1008+L1015+Q988</f>
        <v>244144</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250</v>
      </c>
      <c r="M997" s="1915"/>
      <c r="N997" s="1897"/>
      <c r="O997" s="449" t="s">
        <v>2669</v>
      </c>
      <c r="P997" s="1921">
        <f>+Q996/P836</f>
        <v>4069.0666666666666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2796</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2124</v>
      </c>
      <c r="G999" s="1915"/>
      <c r="K999" s="1948" t="s">
        <v>187</v>
      </c>
      <c r="L999" s="1917">
        <f>SUM(L995:L998)</f>
        <v>5470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1200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7176</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400</v>
      </c>
      <c r="G1002" s="1915"/>
      <c r="I1002" s="1815" t="s">
        <v>1348</v>
      </c>
      <c r="K1002" s="1821" t="s">
        <v>4436</v>
      </c>
      <c r="O1002" s="1815" t="s">
        <v>3361</v>
      </c>
      <c r="Q1002" s="2220">
        <f>'Part VI-Revenues &amp; Expenses'!Q233</f>
        <v>15000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7.7166666666666668</v>
      </c>
      <c r="L1003" s="1915">
        <f>'Part VI-Revenues &amp; Expenses'!L234</f>
        <v>5556</v>
      </c>
      <c r="M1003" s="1915"/>
      <c r="N1003" s="1897" t="str">
        <f>IF(Q1002&lt;Q1011, "WARNING! RR proposed is below the DCA required minimum.","")</f>
        <v/>
      </c>
      <c r="O1003" s="449" t="s">
        <v>4435</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13696</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35.365277777777777</v>
      </c>
      <c r="L1005" s="1915">
        <f>'Part VI-Revenues &amp; Expenses'!L236</f>
        <v>25463</v>
      </c>
      <c r="M1005" s="1915"/>
      <c r="N1005" s="1897"/>
      <c r="O1005" s="1945" t="s">
        <v>2634</v>
      </c>
      <c r="P1005" s="1817" t="s">
        <v>3634</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7200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6744</v>
      </c>
      <c r="G1007" s="1915"/>
      <c r="I1007" s="2155" t="str">
        <f>'Part VI-Revenues &amp; Expenses'!I238</f>
        <v>Other (Cable/Internet)</v>
      </c>
      <c r="J1007" s="2155"/>
      <c r="K1007" s="2155"/>
      <c r="L1007" s="1915">
        <f>'Part VI-Revenues &amp; Expenses'!L238</f>
        <v>2770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0</v>
      </c>
      <c r="G1008" s="1915"/>
      <c r="K1008" s="1948" t="s">
        <v>187</v>
      </c>
      <c r="L1008" s="1917">
        <f>SUM(L1003:L1007)</f>
        <v>40989</v>
      </c>
      <c r="M1008" s="1917"/>
      <c r="N1008" s="1897"/>
      <c r="O1008" s="1822" t="s">
        <v>3315</v>
      </c>
      <c r="P1008" s="1925" t="str">
        <f>CONCATENATE(SUM(MU817:MY817)," units x $",'DCA Underwriting Assumptions'!$Q$69," =")</f>
        <v>60 units x $250 =</v>
      </c>
      <c r="Q1008" s="1925">
        <f>SUM(MU817:MY817)*'DCA Underwriting Assumptions'!$Q$69</f>
        <v>15000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5100</v>
      </c>
      <c r="G1009" s="1915"/>
      <c r="N1009" s="1897"/>
      <c r="O1009" s="1822" t="s">
        <v>3319</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2232</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16920</v>
      </c>
      <c r="G1011" s="1915"/>
      <c r="I1011" s="1815" t="s">
        <v>1349</v>
      </c>
      <c r="O1011" s="1904" t="s">
        <v>2637</v>
      </c>
      <c r="P1011" s="1926">
        <f>SUM(MP817:MT817)+SUM(MU817:MY817)+SUM(MZ817:ND817)+P894</f>
        <v>60</v>
      </c>
      <c r="Q1011" s="1926">
        <f>SUM(Q1007:Q1010)</f>
        <v>15000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32154</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9000</v>
      </c>
      <c r="G1013" s="1915"/>
      <c r="I1013" s="1815" t="s">
        <v>143</v>
      </c>
      <c r="L1013" s="1915">
        <f>'Part VI-Revenues &amp; Expenses'!L244</f>
        <v>16200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(Unit Cleaning)</v>
      </c>
      <c r="C1014" s="449"/>
      <c r="D1014" s="449"/>
      <c r="E1014" s="449"/>
      <c r="F1014" s="1915">
        <f>'Part VI-Revenues &amp; Expenses'!F245</f>
        <v>500</v>
      </c>
      <c r="G1014" s="1915"/>
      <c r="I1014" s="2155" t="str">
        <f>'Part VI-Revenues &amp; Expenses'!I245</f>
        <v>Other (Business License)</v>
      </c>
      <c r="J1014" s="2155"/>
      <c r="K1014" s="2155"/>
      <c r="L1014" s="1915">
        <f>'Part VI-Revenues &amp; Expenses'!L245</f>
        <v>265</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40496</v>
      </c>
      <c r="G1015" s="1915"/>
      <c r="K1015" s="1948" t="s">
        <v>187</v>
      </c>
      <c r="L1015" s="1917">
        <f>SUM(L1011:L1014)</f>
        <v>48619</v>
      </c>
      <c r="M1015" s="1917"/>
      <c r="O1015" s="1815" t="s">
        <v>2137</v>
      </c>
      <c r="Q1015" s="1917">
        <f>Q996+Q1002</f>
        <v>259144</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4422</v>
      </c>
      <c r="C1019" s="1948"/>
      <c r="H1019" s="1906"/>
      <c r="I1019" s="1927" t="s">
        <v>4423</v>
      </c>
      <c r="K1019" s="1917">
        <f>'Part VI-Revenues &amp; Expenses'!K250</f>
        <v>0</v>
      </c>
      <c r="L1019" s="1917"/>
      <c r="M1019" s="1922" t="s">
        <v>4478</v>
      </c>
      <c r="N1019" s="1916">
        <f>'Part VI-Revenues &amp; Expenses'!N250</f>
        <v>0</v>
      </c>
      <c r="O1019" s="1815" t="s">
        <v>4425</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555</v>
      </c>
      <c r="N1023" s="1995" t="s">
        <v>4421</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$3,250 per unit. The above listed proposed budget exceeds the minimum
Section V. is blank as there is no ground lease in place.</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2020-091 The Pointe at St. Martin, ,  County</v>
      </c>
      <c r="L1029" s="1815"/>
      <c r="M1029" s="1815"/>
      <c r="N1029" s="1815" t="str">
        <f>A1029</f>
        <v>PART SEVEN - OPERATING PRO FORMA  -  2020-091 The Pointe at St. Martin,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2138</v>
      </c>
      <c r="B1033" s="1928">
        <v>0.02</v>
      </c>
      <c r="C1033" s="2120"/>
      <c r="D1033" s="1910" t="s">
        <v>6826</v>
      </c>
      <c r="E1033" s="1910"/>
      <c r="F1033" s="1910"/>
      <c r="G1033" s="2221">
        <f>'Part VII-Pro Forma'!G5</f>
        <v>5000</v>
      </c>
      <c r="H1033" s="1913" t="s">
        <v>1860</v>
      </c>
      <c r="K1033" s="1929">
        <f>'Part VII-Pro Forma'!K5</f>
        <v>-1.4536795005214917E-2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9.0000205236286601E-2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0.09</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362592</v>
      </c>
      <c r="C1042" s="2122">
        <f>'Part VII-Pro Forma'!C14</f>
        <v>369843.84</v>
      </c>
      <c r="D1042" s="2122">
        <f>'Part VII-Pro Forma'!D14</f>
        <v>377240.71679999999</v>
      </c>
      <c r="E1042" s="2122">
        <f>'Part VII-Pro Forma'!E14</f>
        <v>384785.53113599995</v>
      </c>
      <c r="F1042" s="2122">
        <f>'Part VII-Pro Forma'!F14</f>
        <v>392481.24175872002</v>
      </c>
      <c r="G1042" s="2122">
        <f>'Part VII-Pro Forma'!G14</f>
        <v>400330.86659389443</v>
      </c>
      <c r="H1042" s="2122">
        <f>'Part VII-Pro Forma'!H14</f>
        <v>408337.48392577231</v>
      </c>
      <c r="I1042" s="2122">
        <f>'Part VII-Pro Forma'!I14</f>
        <v>416504.23360428767</v>
      </c>
      <c r="J1042" s="2122">
        <f>'Part VII-Pro Forma'!J14</f>
        <v>424834.31827637344</v>
      </c>
      <c r="K1042" s="2122">
        <f>'Part VII-Pro Forma'!K14</f>
        <v>433331.00464190094</v>
      </c>
      <c r="N1042" s="1910"/>
      <c r="O1042" s="1910"/>
      <c r="S1042" s="1918" t="s">
        <v>3836</v>
      </c>
    </row>
    <row r="1043" spans="1:19" ht="13.35" customHeight="1">
      <c r="A1043" s="1995" t="s">
        <v>994</v>
      </c>
      <c r="B1043" s="2122">
        <f>'Part VII-Pro Forma'!B15</f>
        <v>7251.84</v>
      </c>
      <c r="C1043" s="2122">
        <f>'Part VII-Pro Forma'!C15</f>
        <v>7396.8768</v>
      </c>
      <c r="D1043" s="2122">
        <f>'Part VII-Pro Forma'!D15</f>
        <v>7544.8143360000004</v>
      </c>
      <c r="E1043" s="2122">
        <f>'Part VII-Pro Forma'!E15</f>
        <v>7695.7106227199993</v>
      </c>
      <c r="F1043" s="2122">
        <f>'Part VII-Pro Forma'!F15</f>
        <v>7849.6248351743998</v>
      </c>
      <c r="G1043" s="2122">
        <f>'Part VII-Pro Forma'!G15</f>
        <v>8006.6173318778883</v>
      </c>
      <c r="H1043" s="2122">
        <f>'Part VII-Pro Forma'!H15</f>
        <v>8166.7496785154462</v>
      </c>
      <c r="I1043" s="2122">
        <f>'Part VII-Pro Forma'!I15</f>
        <v>8330.0846720857535</v>
      </c>
      <c r="J1043" s="2122">
        <f>'Part VII-Pro Forma'!J15</f>
        <v>8496.6863655274701</v>
      </c>
      <c r="K1043" s="2122">
        <f>'Part VII-Pro Forma'!K15</f>
        <v>8666.6200928380185</v>
      </c>
      <c r="N1043" s="1910"/>
      <c r="O1043" s="1910"/>
      <c r="S1043" s="1918"/>
    </row>
    <row r="1044" spans="1:19" ht="13.35" customHeight="1">
      <c r="A1044" s="1995" t="s">
        <v>2343</v>
      </c>
      <c r="B1044" s="2122">
        <f>'Part VII-Pro Forma'!B16</f>
        <v>-25889.068800000005</v>
      </c>
      <c r="C1044" s="2122">
        <f>'Part VII-Pro Forma'!C16</f>
        <v>-26406.850176000007</v>
      </c>
      <c r="D1044" s="2122">
        <f>'Part VII-Pro Forma'!D16</f>
        <v>-26934.987179520002</v>
      </c>
      <c r="E1044" s="2122">
        <f>'Part VII-Pro Forma'!E16</f>
        <v>-27473.686923110399</v>
      </c>
      <c r="F1044" s="2122">
        <f>'Part VII-Pro Forma'!F16</f>
        <v>-28023.160661572612</v>
      </c>
      <c r="G1044" s="2122">
        <f>'Part VII-Pro Forma'!G16</f>
        <v>-28583.623874804063</v>
      </c>
      <c r="H1044" s="2122">
        <f>'Part VII-Pro Forma'!H16</f>
        <v>-29155.296352300145</v>
      </c>
      <c r="I1044" s="2122">
        <f>'Part VII-Pro Forma'!I16</f>
        <v>-29738.402279346144</v>
      </c>
      <c r="J1044" s="2122">
        <f>'Part VII-Pro Forma'!J16</f>
        <v>-30333.170324933064</v>
      </c>
      <c r="K1044" s="2122">
        <f>'Part VII-Pro Forma'!K16</f>
        <v>-30939.833731431729</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4377</v>
      </c>
      <c r="B1047" s="2122">
        <f>'Part VII-Pro Forma'!B19</f>
        <v>343954.77120000002</v>
      </c>
      <c r="C1047" s="2122">
        <f>'Part VII-Pro Forma'!C19</f>
        <v>350833.86662400002</v>
      </c>
      <c r="D1047" s="2122">
        <f>'Part VII-Pro Forma'!D19</f>
        <v>357850.54395647999</v>
      </c>
      <c r="E1047" s="2122">
        <f>'Part VII-Pro Forma'!E19</f>
        <v>365007.55483560957</v>
      </c>
      <c r="F1047" s="2122">
        <f>'Part VII-Pro Forma'!F19</f>
        <v>372307.70593232184</v>
      </c>
      <c r="G1047" s="2122">
        <f>'Part VII-Pro Forma'!G19</f>
        <v>379753.86005096824</v>
      </c>
      <c r="H1047" s="2122">
        <f>'Part VII-Pro Forma'!H19</f>
        <v>387348.93725198758</v>
      </c>
      <c r="I1047" s="2122">
        <f>'Part VII-Pro Forma'!I19</f>
        <v>395095.9159970273</v>
      </c>
      <c r="J1047" s="2122">
        <f>'Part VII-Pro Forma'!J19</f>
        <v>402997.83431696781</v>
      </c>
      <c r="K1047" s="2122">
        <f>'Part VII-Pro Forma'!K19</f>
        <v>411057.79100330721</v>
      </c>
      <c r="N1047" s="1910"/>
      <c r="O1047" s="1910"/>
    </row>
    <row r="1048" spans="1:19" ht="13.35" customHeight="1">
      <c r="A1048" s="1995" t="s">
        <v>597</v>
      </c>
      <c r="B1048" s="2122">
        <f>'Part VII-Pro Forma'!B20</f>
        <v>-213188</v>
      </c>
      <c r="C1048" s="2122">
        <f>'Part VII-Pro Forma'!C20</f>
        <v>-219583.64</v>
      </c>
      <c r="D1048" s="2122">
        <f>'Part VII-Pro Forma'!D20</f>
        <v>-226171.14919999999</v>
      </c>
      <c r="E1048" s="2122">
        <f>'Part VII-Pro Forma'!E20</f>
        <v>-232956.28367599999</v>
      </c>
      <c r="F1048" s="2122">
        <f>'Part VII-Pro Forma'!F20</f>
        <v>-239944.97218627998</v>
      </c>
      <c r="G1048" s="2122">
        <f>'Part VII-Pro Forma'!G20</f>
        <v>-247143.32135186836</v>
      </c>
      <c r="H1048" s="2122">
        <f>'Part VII-Pro Forma'!H20</f>
        <v>-254557.62099242443</v>
      </c>
      <c r="I1048" s="2122">
        <f>'Part VII-Pro Forma'!I20</f>
        <v>-262194.34962219716</v>
      </c>
      <c r="J1048" s="2122">
        <f>'Part VII-Pro Forma'!J20</f>
        <v>-270060.18011086306</v>
      </c>
      <c r="K1048" s="2122">
        <f>'Part VII-Pro Forma'!K20</f>
        <v>-278161.98551418894</v>
      </c>
      <c r="N1048" s="1910"/>
      <c r="O1048" s="1910"/>
      <c r="Q1048" s="1874">
        <v>1</v>
      </c>
      <c r="R1048" s="1900">
        <f>'Part VII-Pro Forma'!R20</f>
        <v>0</v>
      </c>
      <c r="S1048" s="1900">
        <f>'Part VII-Pro Forma'!S20</f>
        <v>16265.947004029076</v>
      </c>
    </row>
    <row r="1049" spans="1:19" ht="13.35" customHeight="1">
      <c r="A1049" s="1995" t="s">
        <v>1093</v>
      </c>
      <c r="B1049" s="2122">
        <f>'Part VII-Pro Forma'!B21</f>
        <v>-30956</v>
      </c>
      <c r="C1049" s="2122">
        <f>'Part VII-Pro Forma'!C21</f>
        <v>-31575</v>
      </c>
      <c r="D1049" s="2122">
        <f>'Part VII-Pro Forma'!D21</f>
        <v>-32207</v>
      </c>
      <c r="E1049" s="2122">
        <f>'Part VII-Pro Forma'!E21</f>
        <v>-32851</v>
      </c>
      <c r="F1049" s="2122">
        <f>'Part VII-Pro Forma'!F21</f>
        <v>-33508</v>
      </c>
      <c r="G1049" s="2122">
        <f>'Part VII-Pro Forma'!G21</f>
        <v>-34178</v>
      </c>
      <c r="H1049" s="2122">
        <f>'Part VII-Pro Forma'!H21</f>
        <v>-34861</v>
      </c>
      <c r="I1049" s="2122">
        <f>'Part VII-Pro Forma'!I21</f>
        <v>-35559</v>
      </c>
      <c r="J1049" s="2122">
        <f>'Part VII-Pro Forma'!J21</f>
        <v>-36270</v>
      </c>
      <c r="K1049" s="2122">
        <f>'Part VII-Pro Forma'!K21</f>
        <v>-36995</v>
      </c>
      <c r="N1049" s="1910"/>
      <c r="O1049" s="1910"/>
      <c r="Q1049" s="1874">
        <v>2</v>
      </c>
      <c r="R1049" s="1900">
        <f>'Part VII-Pro Forma'!R21</f>
        <v>0</v>
      </c>
      <c r="S1049" s="1900">
        <f>'Part VII-Pro Forma'!S21</f>
        <v>31946.349432058138</v>
      </c>
    </row>
    <row r="1050" spans="1:19" ht="13.35" customHeight="1">
      <c r="A1050" s="1995" t="s">
        <v>1176</v>
      </c>
      <c r="B1050" s="2122">
        <f>'Part VII-Pro Forma'!B22</f>
        <v>-15000</v>
      </c>
      <c r="C1050" s="2122">
        <f>'Part VII-Pro Forma'!C22</f>
        <v>-15450</v>
      </c>
      <c r="D1050" s="2122">
        <f>'Part VII-Pro Forma'!D22</f>
        <v>-15913.5</v>
      </c>
      <c r="E1050" s="2122">
        <f>'Part VII-Pro Forma'!E22</f>
        <v>-16390.904999999999</v>
      </c>
      <c r="F1050" s="2122">
        <f>'Part VII-Pro Forma'!F22</f>
        <v>-16882.632149999998</v>
      </c>
      <c r="G1050" s="2122">
        <f>'Part VII-Pro Forma'!G22</f>
        <v>-17389.111114499996</v>
      </c>
      <c r="H1050" s="2122">
        <f>'Part VII-Pro Forma'!H22</f>
        <v>-17910.784447934999</v>
      </c>
      <c r="I1050" s="2122">
        <f>'Part VII-Pro Forma'!I22</f>
        <v>-18448.10798137305</v>
      </c>
      <c r="J1050" s="2122">
        <f>'Part VII-Pro Forma'!J22</f>
        <v>-19001.551220814239</v>
      </c>
      <c r="K1050" s="2122">
        <f>'Part VII-Pro Forma'!K22</f>
        <v>-19571.597757438667</v>
      </c>
      <c r="N1050" s="1910"/>
      <c r="O1050" s="1910"/>
      <c r="Q1050" s="1874">
        <v>3</v>
      </c>
      <c r="R1050" s="1900">
        <f>'Part VII-Pro Forma'!R22</f>
        <v>0</v>
      </c>
      <c r="S1050" s="1900">
        <f>'Part VII-Pro Forma'!S22</f>
        <v>46960.4199925672</v>
      </c>
    </row>
    <row r="1051" spans="1:19" ht="13.35" customHeight="1">
      <c r="A1051" s="1995" t="s">
        <v>4376</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61224.961956205836</v>
      </c>
    </row>
    <row r="1052" spans="1:19" ht="13.35" customHeight="1">
      <c r="A1052" s="1995" t="s">
        <v>1177</v>
      </c>
      <c r="B1052" s="2122">
        <f>'Part VII-Pro Forma'!B24</f>
        <v>84810.771200000017</v>
      </c>
      <c r="C1052" s="2122">
        <f>'Part VII-Pro Forma'!C24</f>
        <v>84225.226624000003</v>
      </c>
      <c r="D1052" s="2122">
        <f>'Part VII-Pro Forma'!D24</f>
        <v>83558.894756480004</v>
      </c>
      <c r="E1052" s="2122">
        <f>'Part VII-Pro Forma'!E24</f>
        <v>82809.366159609577</v>
      </c>
      <c r="F1052" s="2122">
        <f>'Part VII-Pro Forma'!F24</f>
        <v>81972.101596041874</v>
      </c>
      <c r="G1052" s="2122">
        <f>'Part VII-Pro Forma'!G24</f>
        <v>81043.427584599878</v>
      </c>
      <c r="H1052" s="2122">
        <f>'Part VII-Pro Forma'!H24</f>
        <v>80019.531811628141</v>
      </c>
      <c r="I1052" s="2122">
        <f>'Part VII-Pro Forma'!I24</f>
        <v>78894.458393457098</v>
      </c>
      <c r="J1052" s="2122">
        <f>'Part VII-Pro Forma'!J24</f>
        <v>77666.102985290519</v>
      </c>
      <c r="K1052" s="2122">
        <f>'Part VII-Pro Forma'!K24</f>
        <v>76329.207731679606</v>
      </c>
      <c r="N1052" s="1910"/>
      <c r="O1052" s="1910"/>
      <c r="Q1052" s="1874">
        <v>5</v>
      </c>
      <c r="R1052" s="1900">
        <f>'Part VII-Pro Forma'!R24</f>
        <v>0</v>
      </c>
      <c r="S1052" s="1900">
        <f>'Part VII-Pro Forma'!S24</f>
        <v>74652.239356276768</v>
      </c>
    </row>
    <row r="1053" spans="1:19" ht="13.35" customHeight="1">
      <c r="A1053" s="1995" t="s">
        <v>1558</v>
      </c>
      <c r="B1053" s="2122">
        <f>'Part VII-Pro Forma'!B25</f>
        <v>-63544.824195970941</v>
      </c>
      <c r="C1053" s="2122">
        <f>'Part VII-Pro Forma'!C25</f>
        <v>-63544.824195970941</v>
      </c>
      <c r="D1053" s="2122">
        <f>'Part VII-Pro Forma'!D25</f>
        <v>-63544.824195970941</v>
      </c>
      <c r="E1053" s="2122">
        <f>'Part VII-Pro Forma'!E25</f>
        <v>-63544.824195970941</v>
      </c>
      <c r="F1053" s="2122">
        <f>'Part VII-Pro Forma'!F25</f>
        <v>-63544.824195970941</v>
      </c>
      <c r="G1053" s="2122">
        <f>'Part VII-Pro Forma'!G25</f>
        <v>-63544.824195970941</v>
      </c>
      <c r="H1053" s="2122">
        <f>'Part VII-Pro Forma'!H25</f>
        <v>-63544.824195970941</v>
      </c>
      <c r="I1053" s="2122">
        <f>'Part VII-Pro Forma'!I25</f>
        <v>-63544.824195970941</v>
      </c>
      <c r="J1053" s="2122">
        <f>'Part VII-Pro Forma'!J25</f>
        <v>-63544.824195970941</v>
      </c>
      <c r="K1053" s="2122">
        <f>'Part VII-Pro Forma'!K25</f>
        <v>-63544.824195970941</v>
      </c>
      <c r="N1053" s="1910"/>
      <c r="O1053" s="1910"/>
      <c r="Q1053" s="1874">
        <v>6</v>
      </c>
      <c r="R1053" s="1900">
        <f>'Part VII-Pro Forma'!R25</f>
        <v>0</v>
      </c>
      <c r="S1053" s="1900">
        <f>'Part VII-Pro Forma'!S25</f>
        <v>87150.842744905705</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0</v>
      </c>
      <c r="S1054" s="1900">
        <f>'Part VII-Pro Forma'!S26</f>
        <v>98625.550360562906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108975.18455804906</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118096.46334736864</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125880.84688307731</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0</v>
      </c>
      <c r="S1058" s="1900">
        <f>'Part VII-Pro Forma'!S30</f>
        <v>195759.20293667424</v>
      </c>
    </row>
    <row r="1059" spans="1:19" ht="13.35" customHeight="1">
      <c r="A1059" s="1995" t="s">
        <v>3770</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264068.17020364525</v>
      </c>
    </row>
    <row r="1060" spans="1:19" ht="13.35" customHeight="1">
      <c r="A1060" s="1995" t="s">
        <v>1142</v>
      </c>
      <c r="B1060" s="2122">
        <f>'Part VII-Pro Forma'!B32</f>
        <v>16265.947004029076</v>
      </c>
      <c r="C1060" s="2122">
        <f>'Part VII-Pro Forma'!C32</f>
        <v>15680.402428029061</v>
      </c>
      <c r="D1060" s="2122">
        <f>'Part VII-Pro Forma'!D32</f>
        <v>15014.070560509062</v>
      </c>
      <c r="E1060" s="2122">
        <f>'Part VII-Pro Forma'!E32</f>
        <v>14264.541963638636</v>
      </c>
      <c r="F1060" s="2122">
        <f>'Part VII-Pro Forma'!F32</f>
        <v>13427.277400070932</v>
      </c>
      <c r="G1060" s="2122">
        <f>'Part VII-Pro Forma'!G32</f>
        <v>12498.603388628937</v>
      </c>
      <c r="H1060" s="2122">
        <f>'Part VII-Pro Forma'!H32</f>
        <v>11474.7076156572</v>
      </c>
      <c r="I1060" s="2122">
        <f>'Part VII-Pro Forma'!I32</f>
        <v>10349.634197486157</v>
      </c>
      <c r="J1060" s="2122">
        <f>'Part VII-Pro Forma'!J32</f>
        <v>9121.2787893195782</v>
      </c>
      <c r="K1060" s="2122">
        <f>'Part VII-Pro Forma'!K32</f>
        <v>7784.3835357086646</v>
      </c>
      <c r="N1060" s="1910"/>
      <c r="O1060" s="1910"/>
      <c r="Q1060" s="1874">
        <v>13</v>
      </c>
      <c r="R1060" s="1900">
        <f>'Part VII-Pro Forma'!R32</f>
        <v>0</v>
      </c>
      <c r="S1060" s="1900">
        <f>'Part VII-Pro Forma'!S32</f>
        <v>330684.46123102715</v>
      </c>
    </row>
    <row r="1061" spans="1:19" ht="13.35" customHeight="1">
      <c r="A1061" s="1995" t="str">
        <f>IF('Part III-Sources of Funds'!$E$38 = "Neither", "", "DCR Mortgage A")</f>
        <v>DCR Mortgage A</v>
      </c>
      <c r="B1061" s="2122">
        <f>'Part VII-Pro Forma'!B33</f>
        <v>1.334660568710448</v>
      </c>
      <c r="C1061" s="2122">
        <f>'Part VII-Pro Forma'!C33</f>
        <v>1.3254458988548166</v>
      </c>
      <c r="D1061" s="2122">
        <f>'Part VII-Pro Forma'!D33</f>
        <v>1.314959885620048</v>
      </c>
      <c r="E1061" s="2122">
        <f>'Part VII-Pro Forma'!E33</f>
        <v>1.3031646118687366</v>
      </c>
      <c r="F1061" s="2122">
        <f>'Part VII-Pro Forma'!F33</f>
        <v>1.2899886439726638</v>
      </c>
      <c r="G1061" s="2122">
        <f>'Part VII-Pro Forma'!G33</f>
        <v>1.2753741726417183</v>
      </c>
      <c r="H1061" s="2122">
        <f>'Part VII-Pro Forma'!H33</f>
        <v>1.2592612037897775</v>
      </c>
      <c r="I1061" s="2122">
        <f>'Part VII-Pro Forma'!I33</f>
        <v>1.2415560101346446</v>
      </c>
      <c r="J1061" s="2122">
        <f>'Part VII-Pro Forma'!J33</f>
        <v>1.2222254757644753</v>
      </c>
      <c r="K1061" s="2122">
        <f>'Part VII-Pro Forma'!K33</f>
        <v>1.2011868582133753</v>
      </c>
      <c r="N1061" s="1910"/>
      <c r="O1061" s="1910"/>
      <c r="Q1061" s="1874">
        <v>14</v>
      </c>
      <c r="R1061" s="1900">
        <f>'Part VII-Pro Forma'!R33</f>
        <v>0</v>
      </c>
      <c r="S1061" s="1900">
        <f>'Part VII-Pro Forma'!S33</f>
        <v>395479.86282648006</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0</v>
      </c>
      <c r="S1062" s="1900">
        <f>'Part VII-Pro Forma'!S34</f>
        <v>458320.05474379112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519065.42225809593</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577570.86243409407</v>
      </c>
    </row>
    <row r="1065" spans="1:19" ht="13.35" customHeight="1">
      <c r="A1065" s="1995" t="s">
        <v>3533</v>
      </c>
      <c r="B1065" s="2122">
        <f>'Part VII-Pro Forma'!B37</f>
        <v>1.334660568710448</v>
      </c>
      <c r="C1065" s="2122">
        <f>'Part VII-Pro Forma'!C37</f>
        <v>1.3254458988548166</v>
      </c>
      <c r="D1065" s="2122">
        <f>'Part VII-Pro Forma'!D37</f>
        <v>1.314959885620048</v>
      </c>
      <c r="E1065" s="2122">
        <f>'Part VII-Pro Forma'!E37</f>
        <v>1.3031646118687366</v>
      </c>
      <c r="F1065" s="2122">
        <f>'Part VII-Pro Forma'!F37</f>
        <v>1.2899886439726638</v>
      </c>
      <c r="G1065" s="2122">
        <f>'Part VII-Pro Forma'!G37</f>
        <v>1.2753741726417183</v>
      </c>
      <c r="H1065" s="2122">
        <f>'Part VII-Pro Forma'!H37</f>
        <v>1.2592612037897775</v>
      </c>
      <c r="I1065" s="2122">
        <f>'Part VII-Pro Forma'!I37</f>
        <v>1.2415560101346446</v>
      </c>
      <c r="J1065" s="2122">
        <f>'Part VII-Pro Forma'!J37</f>
        <v>1.2222254757644753</v>
      </c>
      <c r="K1065" s="2122">
        <f>'Part VII-Pro Forma'!K37</f>
        <v>1.2011868582133753</v>
      </c>
      <c r="N1065" s="1910"/>
      <c r="O1065" s="1910"/>
      <c r="Q1065" s="1874">
        <v>18</v>
      </c>
      <c r="R1065" s="1900">
        <f>'Part VII-Pro Forma'!R37</f>
        <v>0</v>
      </c>
      <c r="S1065" s="1900">
        <f>'Part VII-Pro Forma'!S37</f>
        <v>633684.58388436143</v>
      </c>
    </row>
    <row r="1066" spans="1:19" ht="13.35" customHeight="1">
      <c r="A1066" s="1995" t="s">
        <v>752</v>
      </c>
      <c r="B1066" s="2122">
        <f>'Part VII-Pro Forma'!B38</f>
        <v>1.3272727564597291</v>
      </c>
      <c r="C1066" s="2122">
        <f>'Part VII-Pro Forma'!C38</f>
        <v>1.315913342583346</v>
      </c>
      <c r="D1066" s="2122">
        <f>'Part VII-Pro Forma'!D38</f>
        <v>1.3046352121917972</v>
      </c>
      <c r="E1066" s="2122">
        <f>'Part VII-Pro Forma'!E38</f>
        <v>1.2934440031246459</v>
      </c>
      <c r="F1066" s="2122">
        <f>'Part VII-Pro Forma'!F38</f>
        <v>1.2823356845380149</v>
      </c>
      <c r="G1066" s="2122">
        <f>'Part VII-Pro Forma'!G38</f>
        <v>1.2713110048264704</v>
      </c>
      <c r="H1066" s="2122">
        <f>'Part VII-Pro Forma'!H38</f>
        <v>1.2603705678503867</v>
      </c>
      <c r="I1066" s="2122">
        <f>'Part VII-Pro Forma'!I38</f>
        <v>1.2495069408957915</v>
      </c>
      <c r="J1066" s="2122">
        <f>'Part VII-Pro Forma'!J38</f>
        <v>1.2387289511151605</v>
      </c>
      <c r="K1066" s="2122">
        <f>'Part VII-Pro Forma'!K38</f>
        <v>1.2280331335485011</v>
      </c>
      <c r="N1066" s="1910"/>
      <c r="O1066" s="1910"/>
      <c r="Q1066" s="1874">
        <v>19</v>
      </c>
      <c r="R1066" s="1900">
        <f>'Part VII-Pro Forma'!R38</f>
        <v>0</v>
      </c>
      <c r="S1066" s="1900">
        <f>'Part VII-Pro Forma'!S38</f>
        <v>687248.89980850578</v>
      </c>
    </row>
    <row r="1067" spans="1:19" ht="13.35" customHeight="1">
      <c r="A1067" s="1995" t="s">
        <v>2550</v>
      </c>
      <c r="B1067" s="2122">
        <f>'Part VII-Pro Forma'!B39</f>
        <v>543055.65456613922</v>
      </c>
      <c r="C1067" s="2122">
        <f>'Part VII-Pro Forma'!C39</f>
        <v>485452.98645207676</v>
      </c>
      <c r="D1067" s="2122">
        <f>'Part VII-Pro Forma'!D39</f>
        <v>427184.38491528912</v>
      </c>
      <c r="E1067" s="2122">
        <f>'Part VII-Pro Forma'!E39</f>
        <v>368242.1512269149</v>
      </c>
      <c r="F1067" s="2122">
        <f>'Part VII-Pro Forma'!F39</f>
        <v>308618.49765456159</v>
      </c>
      <c r="G1067" s="2122">
        <f>'Part VII-Pro Forma'!G39</f>
        <v>248305.54643335289</v>
      </c>
      <c r="H1067" s="2122">
        <f>'Part VII-Pro Forma'!H39</f>
        <v>187295.32872508033</v>
      </c>
      <c r="I1067" s="2122">
        <f>'Part VII-Pro Forma'!I39</f>
        <v>125579.78356532185</v>
      </c>
      <c r="J1067" s="2122">
        <f>'Part VII-Pro Forma'!J39</f>
        <v>63150.756798388371</v>
      </c>
      <c r="K1067" s="2122">
        <f>'Part VII-Pro Forma'!K39</f>
        <v>-4.270987119525671E-8</v>
      </c>
      <c r="N1067" s="1910"/>
      <c r="O1067" s="1910"/>
      <c r="Q1067" s="1874">
        <v>20</v>
      </c>
      <c r="R1067" s="1900">
        <f>'Part VII-Pro Forma'!R39</f>
        <v>0</v>
      </c>
      <c r="S1067" s="1900">
        <f>'Part VII-Pro Forma'!S39</f>
        <v>738100.014097351</v>
      </c>
    </row>
    <row r="1068" spans="1:19" ht="13.35" customHeight="1">
      <c r="A1068" s="1995" t="s">
        <v>2551</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t="str">
        <f>'Part VII-Pro Forma'!B43</f>
        <v/>
      </c>
      <c r="C1071" s="2122" t="str">
        <f>'Part VII-Pro Forma'!C43</f>
        <v/>
      </c>
      <c r="D1071" s="2122" t="str">
        <f>'Part VII-Pro Forma'!D43</f>
        <v/>
      </c>
      <c r="E1071" s="2122" t="str">
        <f>'Part VII-Pro Forma'!E43</f>
        <v/>
      </c>
      <c r="F1071" s="2122" t="str">
        <f>'Part VII-Pro Forma'!F43</f>
        <v/>
      </c>
      <c r="G1071" s="2122" t="str">
        <f>'Part VII-Pro Forma'!G43</f>
        <v/>
      </c>
      <c r="H1071" s="2122" t="str">
        <f>'Part VII-Pro Forma'!H43</f>
        <v/>
      </c>
      <c r="I1071" s="2122" t="str">
        <f>'Part VII-Pro Forma'!I43</f>
        <v/>
      </c>
      <c r="J1071" s="2122" t="str">
        <f>'Part VII-Pro Forma'!J43</f>
        <v/>
      </c>
      <c r="K1071" s="2122" t="str">
        <f>'Part VII-Pro Forma'!K43</f>
        <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441997.62473473896</v>
      </c>
      <c r="C1074" s="2122">
        <f>'Part VII-Pro Forma'!C46</f>
        <v>450837.57722943369</v>
      </c>
      <c r="D1074" s="2122">
        <f>'Part VII-Pro Forma'!D46</f>
        <v>459854.3287740224</v>
      </c>
      <c r="E1074" s="2122">
        <f>'Part VII-Pro Forma'!E46</f>
        <v>469051.41534950281</v>
      </c>
      <c r="F1074" s="2122">
        <f>'Part VII-Pro Forma'!F46</f>
        <v>478432.44365649292</v>
      </c>
      <c r="G1074" s="2122">
        <f>'Part VII-Pro Forma'!G46</f>
        <v>488001.09252962266</v>
      </c>
      <c r="H1074" s="2122">
        <f>'Part VII-Pro Forma'!H46</f>
        <v>497761.11438021518</v>
      </c>
      <c r="I1074" s="2122">
        <f>'Part VII-Pro Forma'!I46</f>
        <v>507716.33666781953</v>
      </c>
      <c r="J1074" s="2122">
        <f>'Part VII-Pro Forma'!J46</f>
        <v>517870.66340117587</v>
      </c>
      <c r="K1074" s="2122">
        <f>'Part VII-Pro Forma'!K46</f>
        <v>528228.07666919939</v>
      </c>
      <c r="N1074" s="1910"/>
      <c r="O1074" s="1910"/>
    </row>
    <row r="1075" spans="1:19" ht="13.35" customHeight="1">
      <c r="A1075" s="1995" t="s">
        <v>994</v>
      </c>
      <c r="B1075" s="2122">
        <f>'Part VII-Pro Forma'!B47</f>
        <v>8839.9524946947804</v>
      </c>
      <c r="C1075" s="2122">
        <f>'Part VII-Pro Forma'!C47</f>
        <v>9016.7515445886729</v>
      </c>
      <c r="D1075" s="2122">
        <f>'Part VII-Pro Forma'!D47</f>
        <v>9197.086575480449</v>
      </c>
      <c r="E1075" s="2122">
        <f>'Part VII-Pro Forma'!E47</f>
        <v>9381.0283069900561</v>
      </c>
      <c r="F1075" s="2122">
        <f>'Part VII-Pro Forma'!F47</f>
        <v>9568.6488731298596</v>
      </c>
      <c r="G1075" s="2122">
        <f>'Part VII-Pro Forma'!G47</f>
        <v>9760.0218505924531</v>
      </c>
      <c r="H1075" s="2122">
        <f>'Part VII-Pro Forma'!H47</f>
        <v>9955.2222876043033</v>
      </c>
      <c r="I1075" s="2122">
        <f>'Part VII-Pro Forma'!I47</f>
        <v>10154.326733356391</v>
      </c>
      <c r="J1075" s="2122">
        <f>'Part VII-Pro Forma'!J47</f>
        <v>10357.413268023518</v>
      </c>
      <c r="K1075" s="2122">
        <f>'Part VII-Pro Forma'!K47</f>
        <v>10564.561533383987</v>
      </c>
      <c r="N1075" s="1910"/>
      <c r="O1075" s="1910"/>
    </row>
    <row r="1076" spans="1:19" ht="13.35" customHeight="1">
      <c r="A1076" s="1995" t="s">
        <v>2343</v>
      </c>
      <c r="B1076" s="2122">
        <f>'Part VII-Pro Forma'!B48</f>
        <v>-31558.630406060365</v>
      </c>
      <c r="C1076" s="2122">
        <f>'Part VII-Pro Forma'!C48</f>
        <v>-32189.803014181569</v>
      </c>
      <c r="D1076" s="2122">
        <f>'Part VII-Pro Forma'!D48</f>
        <v>-32833.599074465201</v>
      </c>
      <c r="E1076" s="2122">
        <f>'Part VII-Pro Forma'!E48</f>
        <v>-33490.271055954501</v>
      </c>
      <c r="F1076" s="2122">
        <f>'Part VII-Pro Forma'!F48</f>
        <v>-34160.076477073599</v>
      </c>
      <c r="G1076" s="2122">
        <f>'Part VII-Pro Forma'!G48</f>
        <v>-34843.278006615059</v>
      </c>
      <c r="H1076" s="2122">
        <f>'Part VII-Pro Forma'!H48</f>
        <v>-35540.143566747363</v>
      </c>
      <c r="I1076" s="2122">
        <f>'Part VII-Pro Forma'!I48</f>
        <v>-36250.946438082319</v>
      </c>
      <c r="J1076" s="2122">
        <f>'Part VII-Pro Forma'!J48</f>
        <v>-36975.965366843964</v>
      </c>
      <c r="K1076" s="2122">
        <f>'Part VII-Pro Forma'!K48</f>
        <v>-37715.484674180843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4377</v>
      </c>
      <c r="B1079" s="2122">
        <f>'Part VII-Pro Forma'!B51</f>
        <v>419278.94682337338</v>
      </c>
      <c r="C1079" s="2122">
        <f>'Part VII-Pro Forma'!C51</f>
        <v>427664.52575984079</v>
      </c>
      <c r="D1079" s="2122">
        <f>'Part VII-Pro Forma'!D51</f>
        <v>436217.81627503765</v>
      </c>
      <c r="E1079" s="2122">
        <f>'Part VII-Pro Forma'!E51</f>
        <v>444942.17260053835</v>
      </c>
      <c r="F1079" s="2122">
        <f>'Part VII-Pro Forma'!F51</f>
        <v>453841.01605254918</v>
      </c>
      <c r="G1079" s="2122">
        <f>'Part VII-Pro Forma'!G51</f>
        <v>462917.83637360006</v>
      </c>
      <c r="H1079" s="2122">
        <f>'Part VII-Pro Forma'!H51</f>
        <v>472176.1931010721</v>
      </c>
      <c r="I1079" s="2122">
        <f>'Part VII-Pro Forma'!I51</f>
        <v>481619.71696309361</v>
      </c>
      <c r="J1079" s="2122">
        <f>'Part VII-Pro Forma'!J51</f>
        <v>491252.11130235542</v>
      </c>
      <c r="K1079" s="2122">
        <f>'Part VII-Pro Forma'!K51</f>
        <v>501077.15352840256</v>
      </c>
      <c r="N1079" s="1910"/>
      <c r="O1079" s="1910"/>
    </row>
    <row r="1080" spans="1:19" ht="13.35" customHeight="1">
      <c r="A1080" s="1995" t="s">
        <v>597</v>
      </c>
      <c r="B1080" s="2122">
        <f>'Part VII-Pro Forma'!B52</f>
        <v>-286506.84507961461</v>
      </c>
      <c r="C1080" s="2122">
        <f>'Part VII-Pro Forma'!C52</f>
        <v>-295102.0504320031</v>
      </c>
      <c r="D1080" s="2122">
        <f>'Part VII-Pro Forma'!D52</f>
        <v>-303955.11194496311</v>
      </c>
      <c r="E1080" s="2122">
        <f>'Part VII-Pro Forma'!E52</f>
        <v>-313073.76530331199</v>
      </c>
      <c r="F1080" s="2122">
        <f>'Part VII-Pro Forma'!F52</f>
        <v>-322465.97826241143</v>
      </c>
      <c r="G1080" s="2122">
        <f>'Part VII-Pro Forma'!G52</f>
        <v>-332139.95761028375</v>
      </c>
      <c r="H1080" s="2122">
        <f>'Part VII-Pro Forma'!H52</f>
        <v>-342104.15633859223</v>
      </c>
      <c r="I1080" s="2122">
        <f>'Part VII-Pro Forma'!I52</f>
        <v>-352367.28102875</v>
      </c>
      <c r="J1080" s="2122">
        <f>'Part VII-Pro Forma'!J52</f>
        <v>-362938.29945961246</v>
      </c>
      <c r="K1080" s="2122">
        <f>'Part VII-Pro Forma'!K52</f>
        <v>-373826.44844340085</v>
      </c>
      <c r="N1080" s="1910"/>
      <c r="O1080" s="1910"/>
    </row>
    <row r="1081" spans="1:19" ht="13.35" customHeight="1">
      <c r="A1081" s="1995" t="s">
        <v>1093</v>
      </c>
      <c r="B1081" s="2122">
        <f>'Part VII-Pro Forma'!B53</f>
        <v>-37735</v>
      </c>
      <c r="C1081" s="2122">
        <f>'Part VII-Pro Forma'!C53</f>
        <v>-38490</v>
      </c>
      <c r="D1081" s="2122">
        <f>'Part VII-Pro Forma'!D53</f>
        <v>-39260</v>
      </c>
      <c r="E1081" s="2122">
        <f>'Part VII-Pro Forma'!E53</f>
        <v>-40045</v>
      </c>
      <c r="F1081" s="2122">
        <f>'Part VII-Pro Forma'!F53</f>
        <v>-40846</v>
      </c>
      <c r="G1081" s="2122">
        <f>'Part VII-Pro Forma'!G53</f>
        <v>-41663</v>
      </c>
      <c r="H1081" s="2122">
        <f>'Part VII-Pro Forma'!H53</f>
        <v>-42496</v>
      </c>
      <c r="I1081" s="2122">
        <f>'Part VII-Pro Forma'!I53</f>
        <v>-43346</v>
      </c>
      <c r="J1081" s="2122">
        <f>'Part VII-Pro Forma'!J53</f>
        <v>-44213</v>
      </c>
      <c r="K1081" s="2122">
        <f>'Part VII-Pro Forma'!K53</f>
        <v>-45097</v>
      </c>
      <c r="N1081" s="1910"/>
      <c r="O1081" s="1910"/>
    </row>
    <row r="1082" spans="1:19" ht="13.35" customHeight="1">
      <c r="A1082" s="1995" t="s">
        <v>1176</v>
      </c>
      <c r="B1082" s="2122">
        <f>'Part VII-Pro Forma'!B54</f>
        <v>-20158.745690161828</v>
      </c>
      <c r="C1082" s="2122">
        <f>'Part VII-Pro Forma'!C54</f>
        <v>-20763.508060866683</v>
      </c>
      <c r="D1082" s="2122">
        <f>'Part VII-Pro Forma'!D54</f>
        <v>-21386.413302692679</v>
      </c>
      <c r="E1082" s="2122">
        <f>'Part VII-Pro Forma'!E54</f>
        <v>-22028.005701773458</v>
      </c>
      <c r="F1082" s="2122">
        <f>'Part VII-Pro Forma'!F54</f>
        <v>-22688.845872826667</v>
      </c>
      <c r="G1082" s="2122">
        <f>'Part VII-Pro Forma'!G54</f>
        <v>-23369.511249011466</v>
      </c>
      <c r="H1082" s="2122">
        <f>'Part VII-Pro Forma'!H54</f>
        <v>-24070.596586481806</v>
      </c>
      <c r="I1082" s="2122">
        <f>'Part VII-Pro Forma'!I54</f>
        <v>-24792.714484076259</v>
      </c>
      <c r="J1082" s="2122">
        <f>'Part VII-Pro Forma'!J54</f>
        <v>-25536.49591859855</v>
      </c>
      <c r="K1082" s="2122">
        <f>'Part VII-Pro Forma'!K54</f>
        <v>-26302.590796156503</v>
      </c>
      <c r="N1082" s="1910"/>
      <c r="O1082" s="1910"/>
      <c r="Q1082" s="1874">
        <v>10</v>
      </c>
      <c r="R1082" s="1900">
        <f>-SUM(B1088:K1088)</f>
        <v>0</v>
      </c>
      <c r="S1082" s="1900">
        <f>SUM(B1089:K1089)+R1082</f>
        <v>0</v>
      </c>
    </row>
    <row r="1083" spans="1:19" ht="13.35" customHeight="1">
      <c r="A1083" s="1995" t="s">
        <v>4376</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74878.356053596945</v>
      </c>
      <c r="C1084" s="2122">
        <f>'Part VII-Pro Forma'!C56</f>
        <v>73308.967266971013</v>
      </c>
      <c r="D1084" s="2122">
        <f>'Part VII-Pro Forma'!D56</f>
        <v>71616.291027381871</v>
      </c>
      <c r="E1084" s="2122">
        <f>'Part VII-Pro Forma'!E56</f>
        <v>69795.401595452917</v>
      </c>
      <c r="F1084" s="2122">
        <f>'Part VII-Pro Forma'!F56</f>
        <v>67840.19191731108</v>
      </c>
      <c r="G1084" s="2122">
        <f>'Part VII-Pro Forma'!G56</f>
        <v>65745.367514304846</v>
      </c>
      <c r="H1084" s="2122">
        <f>'Part VII-Pro Forma'!H56</f>
        <v>63505.440175998061</v>
      </c>
      <c r="I1084" s="2122">
        <f>'Part VII-Pro Forma'!I56</f>
        <v>61113.721450267345</v>
      </c>
      <c r="J1084" s="2122">
        <f>'Part VII-Pro Forma'!J56</f>
        <v>58564.315924144408</v>
      </c>
      <c r="K1084" s="2122">
        <f>'Part VII-Pro Forma'!K56</f>
        <v>55851.114288845209</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69878.356053596945</v>
      </c>
      <c r="C1092" s="2122">
        <f>'Part VII-Pro Forma'!C64</f>
        <v>68308.967266971013</v>
      </c>
      <c r="D1092" s="2122">
        <f>'Part VII-Pro Forma'!D64</f>
        <v>66616.291027381871</v>
      </c>
      <c r="E1092" s="2122">
        <f>'Part VII-Pro Forma'!E64</f>
        <v>64795.401595452917</v>
      </c>
      <c r="F1092" s="2122">
        <f>'Part VII-Pro Forma'!F64</f>
        <v>62840.19191731108</v>
      </c>
      <c r="G1092" s="2122">
        <f>'Part VII-Pro Forma'!G64</f>
        <v>60745.367514304846</v>
      </c>
      <c r="H1092" s="2122">
        <f>'Part VII-Pro Forma'!H64</f>
        <v>58505.440175998061</v>
      </c>
      <c r="I1092" s="2122">
        <f>'Part VII-Pro Forma'!I64</f>
        <v>56113.721450267345</v>
      </c>
      <c r="J1092" s="2122">
        <f>'Part VII-Pro Forma'!J64</f>
        <v>53564.315924144408</v>
      </c>
      <c r="K1092" s="2122">
        <f>'Part VII-Pro Forma'!K64</f>
        <v>50851.114288845209</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1.2174164564765551</v>
      </c>
      <c r="C1098" s="2122">
        <f>'Part VII-Pro Forma'!C70</f>
        <v>1.2068796876751859</v>
      </c>
      <c r="D1098" s="2122">
        <f>'Part VII-Pro Forma'!D70</f>
        <v>1.1964234542868037</v>
      </c>
      <c r="E1098" s="2122">
        <f>'Part VII-Pro Forma'!E70</f>
        <v>1.1860482536167338</v>
      </c>
      <c r="F1098" s="2122">
        <f>'Part VII-Pro Forma'!F70</f>
        <v>1.175751417291127</v>
      </c>
      <c r="G1098" s="2122">
        <f>'Part VII-Pro Forma'!G70</f>
        <v>1.1655335469327213</v>
      </c>
      <c r="H1098" s="2122">
        <f>'Part VII-Pro Forma'!H70</f>
        <v>1.1553951187391216</v>
      </c>
      <c r="I1098" s="2122">
        <f>'Part VII-Pro Forma'!I70</f>
        <v>1.1453337695595431</v>
      </c>
      <c r="J1098" s="2122">
        <f>'Part VII-Pro Forma'!J70</f>
        <v>1.1353500527394205</v>
      </c>
      <c r="K1098" s="2122">
        <f>'Part VII-Pro Forma'!K70</f>
        <v>1.1254444020934591</v>
      </c>
      <c r="N1098" s="1910"/>
      <c r="O1098" s="1910"/>
    </row>
    <row r="1099" spans="1:18" ht="13.35" customHeight="1">
      <c r="A1099" s="1995" t="s">
        <v>2550</v>
      </c>
      <c r="B1099" s="2122">
        <f>'Part VII-Pro Forma'!B71</f>
        <v>-4.3203631842817177E-8</v>
      </c>
      <c r="C1099" s="2122">
        <f>'Part VII-Pro Forma'!C71</f>
        <v>-4.3703100762733816E-8</v>
      </c>
      <c r="D1099" s="2122">
        <f>'Part VII-Pro Forma'!D71</f>
        <v>-4.4208343947250942E-8</v>
      </c>
      <c r="E1099" s="2122">
        <f>'Part VII-Pro Forma'!E71</f>
        <v>-4.4719428151536599E-8</v>
      </c>
      <c r="F1099" s="2122">
        <f>'Part VII-Pro Forma'!F71</f>
        <v>-4.5236420902502538E-8</v>
      </c>
      <c r="G1099" s="2122">
        <f>'Part VII-Pro Forma'!G71</f>
        <v>-4.5759390507726218E-8</v>
      </c>
      <c r="H1099" s="2122">
        <f>'Part VII-Pro Forma'!H71</f>
        <v>-4.6288406064475931E-8</v>
      </c>
      <c r="I1099" s="2122">
        <f>'Part VII-Pro Forma'!I71</f>
        <v>-4.6823537468840265E-8</v>
      </c>
      <c r="J1099" s="2122">
        <f>'Part VII-Pro Forma'!J71</f>
        <v>-4.7364855424963111E-8</v>
      </c>
      <c r="K1099" s="2122">
        <f>'Part VII-Pro Forma'!K71</f>
        <v>-4.7912431454385439E-8</v>
      </c>
      <c r="N1099" s="1910"/>
      <c r="O1099" s="1910"/>
    </row>
    <row r="1100" spans="1:18" ht="13.35" customHeight="1">
      <c r="A1100" s="1995" t="s">
        <v>2551</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t="str">
        <f>'Part VII-Pro Forma'!B75</f>
        <v/>
      </c>
      <c r="C1103" s="2122" t="str">
        <f>'Part VII-Pro Forma'!C75</f>
        <v/>
      </c>
      <c r="D1103" s="2122" t="str">
        <f>'Part VII-Pro Forma'!D75</f>
        <v/>
      </c>
      <c r="E1103" s="2122" t="str">
        <f>'Part VII-Pro Forma'!E75</f>
        <v/>
      </c>
      <c r="F1103" s="2122" t="str">
        <f>'Part VII-Pro Forma'!F75</f>
        <v/>
      </c>
      <c r="G1103" s="2122" t="str">
        <f>'Part VII-Pro Forma'!G75</f>
        <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538792.63820258342</v>
      </c>
      <c r="C1106" s="2122">
        <f>'Part VII-Pro Forma'!C78</f>
        <v>549568.49096663506</v>
      </c>
      <c r="D1106" s="2122">
        <f>'Part VII-Pro Forma'!D78</f>
        <v>560559.86078596779</v>
      </c>
      <c r="E1106" s="2122">
        <f>'Part VII-Pro Forma'!E78</f>
        <v>571771.05800168705</v>
      </c>
      <c r="F1106" s="2122">
        <f>'Part VII-Pro Forma'!F78</f>
        <v>583206.47916172084</v>
      </c>
      <c r="G1106" s="2122">
        <f>'Part VII-Pro Forma'!G78</f>
        <v>594870.60874495527</v>
      </c>
      <c r="H1106" s="2122">
        <f>'Part VII-Pro Forma'!H78</f>
        <v>606768.0209198544</v>
      </c>
      <c r="I1106" s="2122">
        <f>'Part VII-Pro Forma'!I78</f>
        <v>618903.38133825141</v>
      </c>
      <c r="J1106" s="2122">
        <f>'Part VII-Pro Forma'!J78</f>
        <v>631281.44896501652</v>
      </c>
      <c r="K1106" s="2122">
        <f>'Part VII-Pro Forma'!K78</f>
        <v>643907.07794431678</v>
      </c>
      <c r="N1106" s="1910"/>
      <c r="O1106" s="1910"/>
    </row>
    <row r="1107" spans="1:19" ht="13.35" customHeight="1">
      <c r="A1107" s="1995" t="s">
        <v>994</v>
      </c>
      <c r="B1107" s="2122">
        <f>'Part VII-Pro Forma'!B79</f>
        <v>10775.852764051668</v>
      </c>
      <c r="C1107" s="2122">
        <f>'Part VII-Pro Forma'!C79</f>
        <v>10991.369819332702</v>
      </c>
      <c r="D1107" s="2122">
        <f>'Part VII-Pro Forma'!D79</f>
        <v>11211.197215719356</v>
      </c>
      <c r="E1107" s="2122">
        <f>'Part VII-Pro Forma'!E79</f>
        <v>11435.42116003374</v>
      </c>
      <c r="F1107" s="2122">
        <f>'Part VII-Pro Forma'!F79</f>
        <v>11664.129583234417</v>
      </c>
      <c r="G1107" s="2122">
        <f>'Part VII-Pro Forma'!G79</f>
        <v>11897.412174899104</v>
      </c>
      <c r="H1107" s="2122">
        <f>'Part VII-Pro Forma'!H79</f>
        <v>12135.360418397087</v>
      </c>
      <c r="I1107" s="2122">
        <f>'Part VII-Pro Forma'!I79</f>
        <v>12378.067626765027</v>
      </c>
      <c r="J1107" s="2122">
        <f>'Part VII-Pro Forma'!J79</f>
        <v>12625.628979300331</v>
      </c>
      <c r="K1107" s="2122">
        <f>'Part VII-Pro Forma'!K79</f>
        <v>12878.141558886335</v>
      </c>
      <c r="N1107" s="1910"/>
      <c r="O1107" s="1910"/>
    </row>
    <row r="1108" spans="1:19" ht="13.35" customHeight="1">
      <c r="A1108" s="1995" t="s">
        <v>2343</v>
      </c>
      <c r="B1108" s="2122">
        <f>'Part VII-Pro Forma'!B80</f>
        <v>-38469.794367664457</v>
      </c>
      <c r="C1108" s="2122">
        <f>'Part VII-Pro Forma'!C80</f>
        <v>-39239.190255017747</v>
      </c>
      <c r="D1108" s="2122">
        <f>'Part VII-Pro Forma'!D80</f>
        <v>-40023.974060118104</v>
      </c>
      <c r="E1108" s="2122">
        <f>'Part VII-Pro Forma'!E80</f>
        <v>-40824.453541320465</v>
      </c>
      <c r="F1108" s="2122">
        <f>'Part VII-Pro Forma'!F80</f>
        <v>-41640.942612146871</v>
      </c>
      <c r="G1108" s="2122">
        <f>'Part VII-Pro Forma'!G80</f>
        <v>-42473.761464389812</v>
      </c>
      <c r="H1108" s="2122">
        <f>'Part VII-Pro Forma'!H80</f>
        <v>-43323.236693677609</v>
      </c>
      <c r="I1108" s="2122">
        <f>'Part VII-Pro Forma'!I80</f>
        <v>-44189.701427551154</v>
      </c>
      <c r="J1108" s="2122">
        <f>'Part VII-Pro Forma'!J80</f>
        <v>-45073.495456102188</v>
      </c>
      <c r="K1108" s="2122">
        <f>'Part VII-Pro Forma'!K80</f>
        <v>-45974.965365224227</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4377</v>
      </c>
      <c r="B1111" s="2122">
        <f>'Part VII-Pro Forma'!B83</f>
        <v>511098.69659897062</v>
      </c>
      <c r="C1111" s="2122">
        <f>'Part VII-Pro Forma'!C83</f>
        <v>521320.67053095007</v>
      </c>
      <c r="D1111" s="2122">
        <f>'Part VII-Pro Forma'!D83</f>
        <v>531747.08394156909</v>
      </c>
      <c r="E1111" s="2122">
        <f>'Part VII-Pro Forma'!E83</f>
        <v>542382.02562040032</v>
      </c>
      <c r="F1111" s="2122">
        <f>'Part VII-Pro Forma'!F83</f>
        <v>553229.66613280843</v>
      </c>
      <c r="G1111" s="2122">
        <f>'Part VII-Pro Forma'!G83</f>
        <v>564294.25945546455</v>
      </c>
      <c r="H1111" s="2122">
        <f>'Part VII-Pro Forma'!H83</f>
        <v>575580.14464457391</v>
      </c>
      <c r="I1111" s="2122">
        <f>'Part VII-Pro Forma'!I83</f>
        <v>587091.7475374653</v>
      </c>
      <c r="J1111" s="2122">
        <f>'Part VII-Pro Forma'!J83</f>
        <v>598833.58248821471</v>
      </c>
      <c r="K1111" s="2122">
        <f>'Part VII-Pro Forma'!K83</f>
        <v>610810.25413797889</v>
      </c>
      <c r="N1111" s="1910"/>
      <c r="O1111" s="1910"/>
    </row>
    <row r="1112" spans="1:19" ht="13.35" customHeight="1">
      <c r="A1112" s="1995" t="s">
        <v>597</v>
      </c>
      <c r="B1112" s="2122">
        <f>'Part VII-Pro Forma'!B84</f>
        <v>-385041.24189670285</v>
      </c>
      <c r="C1112" s="2122">
        <f>'Part VII-Pro Forma'!C84</f>
        <v>-396592.4791536039</v>
      </c>
      <c r="D1112" s="2122">
        <f>'Part VII-Pro Forma'!D84</f>
        <v>-408490.25352821208</v>
      </c>
      <c r="E1112" s="2122">
        <f>'Part VII-Pro Forma'!E84</f>
        <v>-420744.96113405842</v>
      </c>
      <c r="F1112" s="2122">
        <f>'Part VII-Pro Forma'!F84</f>
        <v>-433367.30996808014</v>
      </c>
      <c r="G1112" s="2122">
        <f>'Part VII-Pro Forma'!G84</f>
        <v>-446368.32926712255</v>
      </c>
      <c r="H1112" s="2122">
        <f>'Part VII-Pro Forma'!H84</f>
        <v>-459759.37914513628</v>
      </c>
      <c r="I1112" s="2122">
        <f>'Part VII-Pro Forma'!I84</f>
        <v>-473552.16051949031</v>
      </c>
      <c r="J1112" s="2122">
        <f>'Part VII-Pro Forma'!J84</f>
        <v>-487758.72533507505</v>
      </c>
      <c r="K1112" s="2122">
        <f>'Part VII-Pro Forma'!K84</f>
        <v>-502391.48709512723</v>
      </c>
      <c r="N1112" s="1910"/>
      <c r="O1112" s="1910"/>
    </row>
    <row r="1113" spans="1:19" ht="13.35" customHeight="1">
      <c r="A1113" s="1995" t="s">
        <v>1093</v>
      </c>
      <c r="B1113" s="2122">
        <f>'Part VII-Pro Forma'!B85</f>
        <v>-45999</v>
      </c>
      <c r="C1113" s="2122">
        <f>'Part VII-Pro Forma'!C85</f>
        <v>-46919</v>
      </c>
      <c r="D1113" s="2122">
        <f>'Part VII-Pro Forma'!D85</f>
        <v>-47857</v>
      </c>
      <c r="E1113" s="2122">
        <f>'Part VII-Pro Forma'!E85</f>
        <v>-48814</v>
      </c>
      <c r="F1113" s="2122">
        <f>'Part VII-Pro Forma'!F85</f>
        <v>-49791</v>
      </c>
      <c r="G1113" s="2122">
        <f>'Part VII-Pro Forma'!G85</f>
        <v>-50786</v>
      </c>
      <c r="H1113" s="2122">
        <f>'Part VII-Pro Forma'!H85</f>
        <v>-51802</v>
      </c>
      <c r="I1113" s="2122">
        <f>'Part VII-Pro Forma'!I85</f>
        <v>-52838</v>
      </c>
      <c r="J1113" s="2122">
        <f>'Part VII-Pro Forma'!J85</f>
        <v>-53895</v>
      </c>
      <c r="K1113" s="2122">
        <f>'Part VII-Pro Forma'!K85</f>
        <v>-54973</v>
      </c>
      <c r="N1113" s="1910"/>
      <c r="O1113" s="1910"/>
    </row>
    <row r="1114" spans="1:19" ht="13.35" customHeight="1">
      <c r="A1114" s="1995" t="s">
        <v>1176</v>
      </c>
      <c r="B1114" s="2122">
        <f>'Part VII-Pro Forma'!B86</f>
        <v>-27091.668520041199</v>
      </c>
      <c r="C1114" s="2122">
        <f>'Part VII-Pro Forma'!C86</f>
        <v>-27904.41857564243</v>
      </c>
      <c r="D1114" s="2122">
        <f>'Part VII-Pro Forma'!D86</f>
        <v>-28741.551132911707</v>
      </c>
      <c r="E1114" s="2122">
        <f>'Part VII-Pro Forma'!E86</f>
        <v>-29603.79766689906</v>
      </c>
      <c r="F1114" s="2122">
        <f>'Part VII-Pro Forma'!F86</f>
        <v>-30491.911596906026</v>
      </c>
      <c r="G1114" s="2122">
        <f>'Part VII-Pro Forma'!G86</f>
        <v>-31406.668944813209</v>
      </c>
      <c r="H1114" s="2122">
        <f>'Part VII-Pro Forma'!H86</f>
        <v>-32348.869013157608</v>
      </c>
      <c r="I1114" s="2122">
        <f>'Part VII-Pro Forma'!I86</f>
        <v>-33319.335083552331</v>
      </c>
      <c r="J1114" s="2122">
        <f>'Part VII-Pro Forma'!J86</f>
        <v>-34318.915136058902</v>
      </c>
      <c r="K1114" s="2122">
        <f>'Part VII-Pro Forma'!K86</f>
        <v>-35348.482590140666</v>
      </c>
      <c r="N1114" s="1910"/>
      <c r="O1114" s="1910"/>
      <c r="Q1114" s="1874">
        <v>10</v>
      </c>
      <c r="R1114" s="1900">
        <f>-SUM(B1120:K1120)</f>
        <v>0</v>
      </c>
      <c r="S1114" s="1900">
        <f>SUM(B1121:K1121)+R1114</f>
        <v>0</v>
      </c>
    </row>
    <row r="1115" spans="1:19" ht="13.35" customHeight="1">
      <c r="A1115" s="1995" t="s">
        <v>4376</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52966.78618222657</v>
      </c>
      <c r="C1116" s="2122">
        <f>'Part VII-Pro Forma'!C88</f>
        <v>49904.772801703744</v>
      </c>
      <c r="D1116" s="2122">
        <f>'Part VII-Pro Forma'!D88</f>
        <v>46658.279280445298</v>
      </c>
      <c r="E1116" s="2122">
        <f>'Part VII-Pro Forma'!E88</f>
        <v>43219.266819442841</v>
      </c>
      <c r="F1116" s="2122">
        <f>'Part VII-Pro Forma'!F88</f>
        <v>39579.444567822269</v>
      </c>
      <c r="G1116" s="2122">
        <f>'Part VII-Pro Forma'!G88</f>
        <v>35733.261243528788</v>
      </c>
      <c r="H1116" s="2122">
        <f>'Part VII-Pro Forma'!H88</f>
        <v>31669.896486280028</v>
      </c>
      <c r="I1116" s="2122">
        <f>'Part VII-Pro Forma'!I88</f>
        <v>27382.25193442266</v>
      </c>
      <c r="J1116" s="2122">
        <f>'Part VII-Pro Forma'!J88</f>
        <v>22860.942017080757</v>
      </c>
      <c r="K1116" s="2122">
        <f>'Part VII-Pro Forma'!K88</f>
        <v>18097.284452710992</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52966.78618222657</v>
      </c>
      <c r="C1123" s="2122">
        <f>'Part VII-Pro Forma'!C95</f>
        <v>49904.772801703744</v>
      </c>
      <c r="D1123" s="2122">
        <f>'Part VII-Pro Forma'!D95</f>
        <v>46658.279280445298</v>
      </c>
      <c r="E1123" s="2122">
        <f>'Part VII-Pro Forma'!E95</f>
        <v>43219.266819442841</v>
      </c>
      <c r="F1123" s="2122">
        <f>'Part VII-Pro Forma'!F95</f>
        <v>39579.444567822269</v>
      </c>
      <c r="G1123" s="2122">
        <f>'Part VII-Pro Forma'!G95</f>
        <v>35733.261243528788</v>
      </c>
      <c r="H1123" s="2122">
        <f>'Part VII-Pro Forma'!H95</f>
        <v>31669.896486280028</v>
      </c>
      <c r="I1123" s="2122">
        <f>'Part VII-Pro Forma'!I95</f>
        <v>27382.25193442266</v>
      </c>
      <c r="J1123" s="2122">
        <f>'Part VII-Pro Forma'!J95</f>
        <v>22860.942017080757</v>
      </c>
      <c r="K1123" s="2122">
        <f>'Part VII-Pro Forma'!K95</f>
        <v>18097.284452710992</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1.1156147061095238</v>
      </c>
      <c r="C1129" s="2122">
        <f>'Part VII-Pro Forma'!C101</f>
        <v>1.1058614549108101</v>
      </c>
      <c r="D1129" s="2122">
        <f>'Part VII-Pro Forma'!D101</f>
        <v>1.0961850259831087</v>
      </c>
      <c r="E1129" s="2122">
        <f>'Part VII-Pro Forma'!E101</f>
        <v>1.0865835162127482</v>
      </c>
      <c r="F1129" s="2122">
        <f>'Part VII-Pro Forma'!F101</f>
        <v>1.0770552467537771</v>
      </c>
      <c r="G1129" s="2122">
        <f>'Part VII-Pro Forma'!G101</f>
        <v>1.0676048012706396</v>
      </c>
      <c r="H1129" s="2122">
        <f>'Part VII-Pro Forma'!H101</f>
        <v>1.0582263279530324</v>
      </c>
      <c r="I1129" s="2122">
        <f>'Part VII-Pro Forma'!I101</f>
        <v>1.048922257259403</v>
      </c>
      <c r="J1129" s="2122">
        <f>'Part VII-Pro Forma'!J101</f>
        <v>1.0396910207373409</v>
      </c>
      <c r="K1129" s="2122">
        <f>'Part VII-Pro Forma'!K101</f>
        <v>1.0305329651590394</v>
      </c>
      <c r="N1129" s="1910"/>
      <c r="O1129" s="1910"/>
    </row>
    <row r="1130" spans="1:15" ht="13.35" customHeight="1">
      <c r="A1130" s="1995" t="s">
        <v>2550</v>
      </c>
      <c r="B1130" s="2122">
        <f>'Part VII-Pro Forma'!B102</f>
        <v>-4.8466337905495066E-8</v>
      </c>
      <c r="C1130" s="2122">
        <f>'Part VII-Pro Forma'!C102</f>
        <v>-4.9026647963085675E-8</v>
      </c>
      <c r="D1130" s="2122">
        <f>'Part VII-Pro Forma'!D102</f>
        <v>-4.9593435658026342E-8</v>
      </c>
      <c r="E1130" s="2122">
        <f>'Part VII-Pro Forma'!E102</f>
        <v>-5.0166775877042854E-8</v>
      </c>
      <c r="F1130" s="2122">
        <f>'Part VII-Pro Forma'!F102</f>
        <v>-5.0746744372612105E-8</v>
      </c>
      <c r="G1130" s="2122">
        <f>'Part VII-Pro Forma'!G102</f>
        <v>-5.1333417772970879E-8</v>
      </c>
      <c r="H1130" s="2122">
        <f>'Part VII-Pro Forma'!H102</f>
        <v>-5.1926873592240343E-8</v>
      </c>
      <c r="I1130" s="2122">
        <f>'Part VII-Pro Forma'!I102</f>
        <v>-5.2527190240667576E-8</v>
      </c>
      <c r="J1130" s="2122">
        <f>'Part VII-Pro Forma'!J102</f>
        <v>-5.3134447034985523E-8</v>
      </c>
      <c r="K1130" s="2122">
        <f>'Part VII-Pro Forma'!K102</f>
        <v>-5.3748724208892703E-8</v>
      </c>
      <c r="N1130" s="1910"/>
      <c r="O1130" s="1910"/>
    </row>
    <row r="1131" spans="1:15" ht="13.35" customHeight="1">
      <c r="A1131" s="1995" t="s">
        <v>2551</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2342</v>
      </c>
      <c r="B1136" s="2122">
        <f>'Part VII-Pro Forma'!B108</f>
        <v>656785.21950320317</v>
      </c>
      <c r="C1136" s="2122">
        <f>'Part VII-Pro Forma'!C108</f>
        <v>669920.92389326706</v>
      </c>
      <c r="D1136" s="2122">
        <f>'Part VII-Pro Forma'!D108</f>
        <v>683319.34237113257</v>
      </c>
      <c r="E1136" s="2122">
        <f>'Part VII-Pro Forma'!E108</f>
        <v>696985.72921855527</v>
      </c>
      <c r="F1136" s="2122">
        <f>'Part VII-Pro Forma'!F108</f>
        <v>710925.44380292622</v>
      </c>
      <c r="G1136" s="2122"/>
      <c r="H1136" s="2122"/>
      <c r="I1136" s="2122"/>
      <c r="J1136" s="2122"/>
      <c r="K1136" s="2122"/>
      <c r="N1136" s="1910"/>
      <c r="O1136" s="1910"/>
    </row>
    <row r="1137" spans="1:19" ht="13.35" customHeight="1">
      <c r="A1137" s="1995" t="s">
        <v>994</v>
      </c>
      <c r="B1137" s="2122">
        <f>'Part VII-Pro Forma'!B109</f>
        <v>13135.704390064064</v>
      </c>
      <c r="C1137" s="2122">
        <f>'Part VII-Pro Forma'!C109</f>
        <v>13398.418477865342</v>
      </c>
      <c r="D1137" s="2122">
        <f>'Part VII-Pro Forma'!D109</f>
        <v>13666.386847422651</v>
      </c>
      <c r="E1137" s="2122">
        <f>'Part VII-Pro Forma'!E109</f>
        <v>13939.714584371104</v>
      </c>
      <c r="F1137" s="2122">
        <f>'Part VII-Pro Forma'!F109</f>
        <v>14218.508876058526</v>
      </c>
      <c r="G1137" s="2122"/>
      <c r="H1137" s="2122"/>
      <c r="I1137" s="2122"/>
      <c r="J1137" s="2122"/>
      <c r="K1137" s="2122"/>
      <c r="N1137" s="1910"/>
      <c r="O1137" s="1910"/>
    </row>
    <row r="1138" spans="1:19" ht="13.35" customHeight="1">
      <c r="A1138" s="1995" t="s">
        <v>2343</v>
      </c>
      <c r="B1138" s="2122">
        <f>'Part VII-Pro Forma'!B110</f>
        <v>-46894.464672528717</v>
      </c>
      <c r="C1138" s="2122">
        <f>'Part VII-Pro Forma'!C110</f>
        <v>-47832.353965979266</v>
      </c>
      <c r="D1138" s="2122">
        <f>'Part VII-Pro Forma'!D110</f>
        <v>-48789.001045298872</v>
      </c>
      <c r="E1138" s="2122">
        <f>'Part VII-Pro Forma'!E110</f>
        <v>-49764.781066204851</v>
      </c>
      <c r="F1138" s="2122">
        <f>'Part VII-Pro Forma'!F110</f>
        <v>-50760.076687528934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4377</v>
      </c>
      <c r="B1141" s="2122">
        <f>'Part VII-Pro Forma'!B113</f>
        <v>623026.45922073862</v>
      </c>
      <c r="C1141" s="2122">
        <f>'Part VII-Pro Forma'!C113</f>
        <v>635486.98840515304</v>
      </c>
      <c r="D1141" s="2122">
        <f>'Part VII-Pro Forma'!D113</f>
        <v>648196.72817325639</v>
      </c>
      <c r="E1141" s="2122">
        <f>'Part VII-Pro Forma'!E113</f>
        <v>661160.66273672145</v>
      </c>
      <c r="F1141" s="2122">
        <f>'Part VII-Pro Forma'!F113</f>
        <v>674383.87599145574</v>
      </c>
      <c r="G1141" s="2122"/>
      <c r="H1141" s="2122"/>
      <c r="I1141" s="2122"/>
      <c r="J1141" s="2122"/>
      <c r="K1141" s="2122"/>
      <c r="N1141" s="1910"/>
      <c r="O1141" s="1910"/>
    </row>
    <row r="1142" spans="1:19" ht="13.35" customHeight="1">
      <c r="A1142" s="1995" t="s">
        <v>597</v>
      </c>
      <c r="B1142" s="2122">
        <f>'Part VII-Pro Forma'!B114</f>
        <v>-517463.23170798103</v>
      </c>
      <c r="C1142" s="2122">
        <f>'Part VII-Pro Forma'!C114</f>
        <v>-532987.12865922053</v>
      </c>
      <c r="D1142" s="2122">
        <f>'Part VII-Pro Forma'!D114</f>
        <v>-548976.74251899705</v>
      </c>
      <c r="E1142" s="2122">
        <f>'Part VII-Pro Forma'!E114</f>
        <v>-565446.04479456705</v>
      </c>
      <c r="F1142" s="2122">
        <f>'Part VII-Pro Forma'!F114</f>
        <v>-582409.42613840394</v>
      </c>
      <c r="G1142" s="2122"/>
      <c r="H1142" s="2122"/>
      <c r="I1142" s="2122"/>
      <c r="J1142" s="2122"/>
      <c r="K1142" s="2122"/>
      <c r="N1142" s="1910"/>
      <c r="O1142" s="1910"/>
    </row>
    <row r="1143" spans="1:19" ht="13.35" customHeight="1">
      <c r="A1143" s="1995" t="s">
        <v>1093</v>
      </c>
      <c r="B1143" s="2122">
        <f>'Part VII-Pro Forma'!B115</f>
        <v>-56072</v>
      </c>
      <c r="C1143" s="2122">
        <f>'Part VII-Pro Forma'!C115</f>
        <v>-57194</v>
      </c>
      <c r="D1143" s="2122">
        <f>'Part VII-Pro Forma'!D115</f>
        <v>-58338</v>
      </c>
      <c r="E1143" s="2122">
        <f>'Part VII-Pro Forma'!E115</f>
        <v>-59504</v>
      </c>
      <c r="F1143" s="2122">
        <f>'Part VII-Pro Forma'!F115</f>
        <v>-60695</v>
      </c>
      <c r="G1143" s="2122"/>
      <c r="H1143" s="2122"/>
      <c r="I1143" s="2122"/>
      <c r="J1143" s="2122"/>
      <c r="K1143" s="2122"/>
      <c r="N1143" s="1910"/>
      <c r="O1143" s="1910"/>
    </row>
    <row r="1144" spans="1:19" ht="13.35" customHeight="1">
      <c r="A1144" s="1995" t="s">
        <v>1176</v>
      </c>
      <c r="B1144" s="2122">
        <f>'Part VII-Pro Forma'!B116</f>
        <v>-36408.937067844883</v>
      </c>
      <c r="C1144" s="2122">
        <f>'Part VII-Pro Forma'!C116</f>
        <v>-37501.205179880242</v>
      </c>
      <c r="D1144" s="2122">
        <f>'Part VII-Pro Forma'!D116</f>
        <v>-38626.241335276638</v>
      </c>
      <c r="E1144" s="2122">
        <f>'Part VII-Pro Forma'!E116</f>
        <v>-39785.028575334938</v>
      </c>
      <c r="F1144" s="2122">
        <f>'Part VII-Pro Forma'!F116</f>
        <v>-40978.579432594983</v>
      </c>
      <c r="G1144" s="2122"/>
      <c r="H1144" s="2122"/>
      <c r="I1144" s="2122"/>
      <c r="J1144" s="2122"/>
      <c r="K1144" s="2122"/>
      <c r="N1144" s="1910"/>
      <c r="O1144" s="1910"/>
      <c r="Q1144" s="1874">
        <v>10</v>
      </c>
      <c r="R1144" s="1900">
        <f>-SUM(B1150:K1150)</f>
        <v>0</v>
      </c>
      <c r="S1144" s="1900">
        <f>SUM(B1151:K1151)+R1144</f>
        <v>0</v>
      </c>
    </row>
    <row r="1145" spans="1:19" ht="13.35" customHeight="1">
      <c r="A1145" s="1995" t="s">
        <v>4376</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13082.290444912702</v>
      </c>
      <c r="C1146" s="2122">
        <f>'Part VII-Pro Forma'!C118</f>
        <v>7804.6545660522679</v>
      </c>
      <c r="D1146" s="2122">
        <f>'Part VII-Pro Forma'!D118</f>
        <v>2255.7443189826954</v>
      </c>
      <c r="E1146" s="2122">
        <f>'Part VII-Pro Forma'!E118</f>
        <v>-3574.4106331805306</v>
      </c>
      <c r="F1146" s="2122">
        <f>'Part VII-Pro Forma'!F118</f>
        <v>-9699.1295795431797</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13082.290444912702</v>
      </c>
      <c r="C1153" s="2122">
        <f>'Part VII-Pro Forma'!C125</f>
        <v>7804.6545660522679</v>
      </c>
      <c r="D1153" s="2122">
        <f>'Part VII-Pro Forma'!D125</f>
        <v>2255.7443189826954</v>
      </c>
      <c r="E1153" s="2122">
        <f>'Part VII-Pro Forma'!E125</f>
        <v>-3574.4106331805306</v>
      </c>
      <c r="F1153" s="2122">
        <f>'Part VII-Pro Forma'!F125</f>
        <v>-9699.1295795431797</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1.0214483408721968</v>
      </c>
      <c r="C1159" s="2122">
        <f>'Part VII-Pro Forma'!C131</f>
        <v>1.0124340835248884</v>
      </c>
      <c r="D1159" s="2122">
        <f>'Part VII-Pro Forma'!D131</f>
        <v>1.0034921833036865</v>
      </c>
      <c r="E1159" s="2122">
        <f>'Part VII-Pro Forma'!E131</f>
        <v>0.99462280421723515</v>
      </c>
      <c r="F1159" s="2122">
        <f>'Part VII-Pro Forma'!F131</f>
        <v>0.98582170657572854</v>
      </c>
      <c r="G1159" s="2122"/>
      <c r="H1159" s="2122"/>
      <c r="I1159" s="2122"/>
      <c r="J1159" s="2122"/>
      <c r="K1159" s="2122"/>
      <c r="N1159" s="1910"/>
      <c r="O1159" s="1910"/>
    </row>
    <row r="1160" spans="1:15" ht="13.35" customHeight="1">
      <c r="A1160" s="1995" t="s">
        <v>2550</v>
      </c>
      <c r="B1160" s="2122">
        <f>'Part VII-Pro Forma'!B132</f>
        <v>-5.4370102923654068E-8</v>
      </c>
      <c r="C1160" s="2122">
        <f>'Part VII-Pro Forma'!C132</f>
        <v>-5.4998665278824417E-8</v>
      </c>
      <c r="D1160" s="2122">
        <f>'Part VII-Pro Forma'!D132</f>
        <v>-5.56344943230958E-8</v>
      </c>
      <c r="E1160" s="2122">
        <f>'Part VII-Pro Forma'!E132</f>
        <v>-5.6277674065270292E-8</v>
      </c>
      <c r="F1160" s="2122">
        <f>'Part VII-Pro Forma'!F132</f>
        <v>-5.6928289485359667E-8</v>
      </c>
      <c r="G1160" s="2122"/>
      <c r="H1160" s="2122"/>
      <c r="I1160" s="2122"/>
      <c r="J1160" s="2122"/>
      <c r="K1160" s="2122"/>
      <c r="N1160" s="1910"/>
      <c r="O1160" s="1910"/>
    </row>
    <row r="1161" spans="1:15" ht="13.35" customHeight="1">
      <c r="A1161" s="1995" t="s">
        <v>2551</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Please note that there are no debt service payment amounts that deviate from the amount shown in Permanent Sources (Part III). Additionally, a combine asset management fee of $5,000 annually is shown as the commitment letter from 42 Equity required $3,000 while the letter from Monarch required $2,000 annually.</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2020-091 The Pointe at St. Martin,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3337</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3"/>
      <c r="S1182" s="2253"/>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3"/>
      <c r="S1183" s="2253"/>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has been provided in support of estimated impact fees, taxes, and property insurance for the proposed project. Current, applicable, and properly calculated utility allowances have been documented. There is no deferred developer fee. All preliminary commitments for financing have been submitted with the application. There is no existing debt on this project. Unit count, bedroom type, rent structure, and operating expenses for this proposed project are firm.</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2634</v>
      </c>
      <c r="F1210" s="1945" t="s">
        <v>3338</v>
      </c>
      <c r="G1210" s="1945" t="s">
        <v>4454</v>
      </c>
      <c r="H1210" s="1945"/>
      <c r="I1210" s="1945"/>
      <c r="K1210" s="1945" t="s">
        <v>3338</v>
      </c>
      <c r="L1210" s="1945" t="s">
        <v>4453</v>
      </c>
      <c r="M1210" s="1945"/>
      <c r="N1210" s="1945"/>
      <c r="P1210" s="1849"/>
      <c r="Q1210" s="1849"/>
      <c r="R1210" s="2252"/>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170296.8</v>
      </c>
      <c r="H1211" s="1908" t="str">
        <f>'Part VIII-Threshold Criteria'!H41</f>
        <v xml:space="preserve">x  units = </v>
      </c>
      <c r="I1211" s="1875" t="str">
        <f>IF(F1211="","",F1211*G1211)</f>
        <v/>
      </c>
      <c r="J1211" s="1815"/>
      <c r="K1211" s="1934" t="str">
        <f>'Part VIII-Threshold Criteria'!K41</f>
        <v/>
      </c>
      <c r="L1211" s="2126">
        <f>'Part VIII-Threshold Criteria'!L41</f>
        <v>187326.48</v>
      </c>
      <c r="M1211" s="1908" t="str">
        <f>'Part VIII-Threshold Criteria'!M41</f>
        <v xml:space="preserve">x  units = </v>
      </c>
      <c r="N1211" s="1875" t="str">
        <f>IF(K1211="","",K1211*L1211)</f>
        <v/>
      </c>
      <c r="O1211" s="1939"/>
      <c r="P1211" s="1849"/>
      <c r="Q1211" s="1849"/>
      <c r="R1211" s="2252"/>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211237.74999999997</v>
      </c>
      <c r="H1212" s="1908" t="str">
        <f>'Part VIII-Threshold Criteria'!H42</f>
        <v xml:space="preserve">x  units = </v>
      </c>
      <c r="I1212" s="1875" t="str">
        <f>IF(F1212="","",F1212*G1212)</f>
        <v/>
      </c>
      <c r="J1212" s="1815"/>
      <c r="K1212" s="1934" t="str">
        <f>'Part VIII-Threshold Criteria'!K42</f>
        <v/>
      </c>
      <c r="L1212" s="2126">
        <f>'Part VIII-Threshold Criteria'!L42</f>
        <v>232361.52499999999</v>
      </c>
      <c r="M1212" s="1908" t="str">
        <f>'Part VIII-Threshold Criteria'!M42</f>
        <v xml:space="preserve">x  units = </v>
      </c>
      <c r="N1212" s="1875" t="str">
        <f>IF(K1212="","",K1212*L1212)</f>
        <v/>
      </c>
      <c r="O1212" s="1939"/>
      <c r="P1212" s="2103" t="str">
        <f>'Part VIII-Threshold Criteria'!P42</f>
        <v>Athens</v>
      </c>
      <c r="Q1212" s="2103"/>
      <c r="R1212" s="2252"/>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252819.44999999998</v>
      </c>
      <c r="H1213" s="1908" t="str">
        <f>'Part VIII-Threshold Criteria'!H43</f>
        <v xml:space="preserve">x  units = </v>
      </c>
      <c r="I1213" s="1875" t="str">
        <f>IF(F1213="","",F1213*G1213)</f>
        <v/>
      </c>
      <c r="J1213" s="1815"/>
      <c r="K1213" s="1934" t="str">
        <f>'Part VIII-Threshold Criteria'!K43</f>
        <v/>
      </c>
      <c r="L1213" s="2126">
        <f>'Part VIII-Threshold Criteria'!L43</f>
        <v>278101.39500000002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288406.80000000005</v>
      </c>
      <c r="H1214" s="1908" t="str">
        <f>'Part VIII-Threshold Criteria'!H44</f>
        <v xml:space="preserve">x  units = </v>
      </c>
      <c r="I1214" s="1875" t="str">
        <f>IF(F1214="","",F1214*G1214)</f>
        <v/>
      </c>
      <c r="J1214" s="1815"/>
      <c r="K1214" s="1934" t="str">
        <f>'Part VIII-Threshold Criteria'!K44</f>
        <v/>
      </c>
      <c r="L1214" s="2126">
        <f>'Part VIII-Threshold Criteria'!L44</f>
        <v>317247.4800000001</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339931.9</v>
      </c>
      <c r="H1215" s="1908" t="str">
        <f>'Part VIII-Threshold Criteria'!H45</f>
        <v xml:space="preserve">x  units = </v>
      </c>
      <c r="I1215" s="1875" t="str">
        <f>IF(F1215="","",F1215*G1215)</f>
        <v/>
      </c>
      <c r="J1215" s="1815"/>
      <c r="K1215" s="1934" t="str">
        <f>'Part VIII-Threshold Criteria'!K45</f>
        <v/>
      </c>
      <c r="L1215" s="2126">
        <f>'Part VIII-Threshold Criteria'!L45</f>
        <v>373925.09000000008</v>
      </c>
      <c r="M1215" s="1908" t="str">
        <f>'Part VIII-Threshold Criteria'!M45</f>
        <v xml:space="preserve">x  units = </v>
      </c>
      <c r="N1215" s="1875" t="str">
        <f>IF(K1215="","",K1215*L1215)</f>
        <v/>
      </c>
      <c r="O1215" s="1939"/>
      <c r="P1215" s="2127">
        <f>'Part IV-A-Uses of Funds'!$G$132</f>
        <v>11974075</v>
      </c>
      <c r="Q1215" s="2127"/>
      <c r="AC1215" s="450"/>
      <c r="AD1215" s="450"/>
      <c r="AE1215" s="450"/>
      <c r="AF1215" s="450"/>
    </row>
    <row r="1216" spans="1:32" ht="10.5" customHeight="1">
      <c r="C1216" s="1815"/>
      <c r="D1216" s="2128" t="s">
        <v>3262</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2"/>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146078.39999999999</v>
      </c>
      <c r="H1218" s="1908" t="str">
        <f>'Part VIII-Threshold Criteria'!H48</f>
        <v xml:space="preserve">x  units = </v>
      </c>
      <c r="I1218" s="1875" t="str">
        <f>IF(F1218="","",F1218*G1218)</f>
        <v/>
      </c>
      <c r="J1218" s="1815"/>
      <c r="K1218" s="1934" t="s">
        <v>4485</v>
      </c>
      <c r="L1218" s="2126">
        <v>159979.19999999998</v>
      </c>
      <c r="M1218" s="1908" t="s">
        <v>6814</v>
      </c>
      <c r="N1218" s="1875" t="str">
        <f>IF(K1218="","",K1218*L1218)</f>
        <v/>
      </c>
      <c r="P1218" s="2127">
        <f>'Part VIII-Threshold Criteria'!P48</f>
        <v>11540990</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182939.69999999998</v>
      </c>
      <c r="H1219" s="1908" t="str">
        <f>'Part VIII-Threshold Criteria'!H49</f>
        <v xml:space="preserve">x  units = </v>
      </c>
      <c r="I1219" s="1875" t="str">
        <f>IF(F1219="","",F1219*G1219)</f>
        <v/>
      </c>
      <c r="J1219" s="1815"/>
      <c r="K1219" s="1934" t="s">
        <v>4485</v>
      </c>
      <c r="L1219" s="2126">
        <v>198564.74999999997</v>
      </c>
      <c r="M1219" s="1908" t="s">
        <v>6814</v>
      </c>
      <c r="N1219" s="1875" t="str">
        <f>IF(K1219="","",K1219*L1219)</f>
        <v/>
      </c>
      <c r="P1219" s="1822" t="s">
        <v>3774</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221829.24999999997</v>
      </c>
      <c r="H1220" s="1908" t="str">
        <f>'Part VIII-Threshold Criteria'!H50</f>
        <v xml:space="preserve">x  units = </v>
      </c>
      <c r="I1220" s="1875" t="str">
        <f>IF(F1220="","",F1220*G1220)</f>
        <v/>
      </c>
      <c r="J1220" s="1815"/>
      <c r="K1220" s="1934" t="s">
        <v>4485</v>
      </c>
      <c r="L1220" s="2126">
        <v>237737.19999999998</v>
      </c>
      <c r="M1220" s="1908" t="s">
        <v>6814</v>
      </c>
      <c r="N1220" s="1875" t="str">
        <f>IF(K1220="","",K1220*L1220)</f>
        <v/>
      </c>
      <c r="O1220" s="1896"/>
      <c r="P1220" s="2132"/>
      <c r="Q1220" s="2132"/>
      <c r="R1220" s="2252"/>
      <c r="S1220" s="1952" t="s">
        <v>6928</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259207.30000000002</v>
      </c>
      <c r="H1221" s="1908" t="str">
        <f>'Part VIII-Threshold Criteria'!H51</f>
        <v xml:space="preserve">x  units = </v>
      </c>
      <c r="I1221" s="1875" t="str">
        <f>IF(F1221="","",F1221*G1221)</f>
        <v/>
      </c>
      <c r="J1221" s="1815"/>
      <c r="K1221" s="1934" t="s">
        <v>4485</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307611.7</v>
      </c>
      <c r="H1222" s="1908" t="str">
        <f>'Part VIII-Threshold Criteria'!H52</f>
        <v xml:space="preserve">x  units = </v>
      </c>
      <c r="I1222" s="1875" t="str">
        <f>IF(F1222="","",F1222*G1222)</f>
        <v/>
      </c>
      <c r="J1222" s="1815"/>
      <c r="K1222" s="1934" t="s">
        <v>4485</v>
      </c>
      <c r="L1222" s="2126">
        <v>319916.30000000005</v>
      </c>
      <c r="M1222" s="1908" t="s">
        <v>6814</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3262</v>
      </c>
      <c r="E1223" s="1910"/>
      <c r="F1223" s="2129">
        <f>SUM(F1218:F1222)</f>
        <v>0</v>
      </c>
      <c r="G1223" s="2130"/>
      <c r="H1223" s="1938"/>
      <c r="I1223" s="2131">
        <f>SUM(I1218:I1222)</f>
        <v>0</v>
      </c>
      <c r="J1223" s="1910"/>
      <c r="K1223" s="2129">
        <f>SUM(K1218:K1222)</f>
        <v>0</v>
      </c>
      <c r="L1223" s="1910"/>
      <c r="M1223" s="1938"/>
      <c r="N1223" s="2131">
        <f>SUM(N1218:N1222)</f>
        <v>0</v>
      </c>
      <c r="O1223" s="1896"/>
      <c r="P1223" s="1898" t="s">
        <v>3141</v>
      </c>
      <c r="Q1223" s="1898" t="s">
        <v>251</v>
      </c>
      <c r="R1223" s="2252"/>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2"/>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127950</v>
      </c>
      <c r="H1225" s="1908" t="str">
        <f>'Part VIII-Threshold Criteria'!H55</f>
        <v xml:space="preserve">x  units = </v>
      </c>
      <c r="I1225" s="1875" t="str">
        <f>IF(F1225="","",F1225*G1225)</f>
        <v/>
      </c>
      <c r="J1225" s="1815"/>
      <c r="K1225" s="1934" t="str">
        <f>'Part VIII-Threshold Criteria'!K55</f>
        <v/>
      </c>
      <c r="L1225" s="2126">
        <f>'Part VIII-Threshold Criteria'!L55</f>
        <v>140745</v>
      </c>
      <c r="M1225" s="1908" t="str">
        <f>'Part VIII-Threshold Criteria'!M55</f>
        <v xml:space="preserve">x  units = </v>
      </c>
      <c r="N1225" s="1875" t="str">
        <f>IF(K1225="","",K1225*L1225)</f>
        <v/>
      </c>
      <c r="O1225" s="1896"/>
      <c r="P1225" s="1916">
        <f>'Part VIII-Threshold Criteria'!P55</f>
        <v>0</v>
      </c>
      <c r="Q1225" s="1916">
        <f>'Part VIII-Threshold Criteria'!Q55</f>
        <v>0</v>
      </c>
      <c r="R1225" s="2252"/>
      <c r="S1225" s="1952"/>
      <c r="T1225" s="1952"/>
      <c r="U1225" s="1952"/>
      <c r="V1225" s="1952"/>
      <c r="W1225" s="1815"/>
      <c r="AB1225" s="450"/>
      <c r="AC1225" s="450"/>
      <c r="AD1225" s="450"/>
      <c r="AE1225" s="450"/>
      <c r="AF1225" s="450"/>
    </row>
    <row r="1226" spans="1:32" ht="10.5" customHeight="1">
      <c r="C1226" s="1815"/>
      <c r="D1226" s="1933" t="s">
        <v>2377</v>
      </c>
      <c r="E1226" s="1229">
        <v>1</v>
      </c>
      <c r="F1226" s="1934">
        <f>'Part VIII-Threshold Criteria'!F56</f>
        <v>8</v>
      </c>
      <c r="G1226" s="2126">
        <f>'Part VIII-Threshold Criteria'!G56</f>
        <v>167319.25</v>
      </c>
      <c r="H1226" s="1908" t="str">
        <f>'Part VIII-Threshold Criteria'!H56</f>
        <v xml:space="preserve">x 8 units = </v>
      </c>
      <c r="I1226" s="1875">
        <f>IF(F1226="","",F1226*G1226)</f>
        <v>1338554</v>
      </c>
      <c r="J1226" s="1815"/>
      <c r="K1226" s="1934" t="str">
        <f>'Part VIII-Threshold Criteria'!K56</f>
        <v/>
      </c>
      <c r="L1226" s="2126">
        <f>'Part VIII-Threshold Criteria'!L56</f>
        <v>184051.17500000002</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f>'Part VIII-Threshold Criteria'!F57</f>
        <v>36</v>
      </c>
      <c r="G1227" s="2126">
        <f>'Part VIII-Threshold Criteria'!G57</f>
        <v>211691.99999999997</v>
      </c>
      <c r="H1227" s="1908" t="str">
        <f>'Part VIII-Threshold Criteria'!H57</f>
        <v xml:space="preserve">x 36 units = </v>
      </c>
      <c r="I1227" s="1875">
        <f>IF(F1227="","",F1227*G1227)</f>
        <v>7620911.9999999991</v>
      </c>
      <c r="J1227" s="1815"/>
      <c r="K1227" s="1934" t="str">
        <f>'Part VIII-Threshold Criteria'!K57</f>
        <v/>
      </c>
      <c r="L1227" s="2126">
        <f>'Part VIII-Threshold Criteria'!L57</f>
        <v>232861.19999999998</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f>'Part VIII-Threshold Criteria'!F58</f>
        <v>16</v>
      </c>
      <c r="G1228" s="2126">
        <f>'Part VIII-Threshold Criteria'!G58</f>
        <v>266712.60000000003</v>
      </c>
      <c r="H1228" s="1908" t="str">
        <f>'Part VIII-Threshold Criteria'!H58</f>
        <v xml:space="preserve">x 16 units = </v>
      </c>
      <c r="I1228" s="1875">
        <f>IF(F1228="","",F1228*G1228)</f>
        <v>4267401.6000000006</v>
      </c>
      <c r="J1228" s="1815"/>
      <c r="K1228" s="1934" t="str">
        <f>'Part VIII-Threshold Criteria'!K58</f>
        <v/>
      </c>
      <c r="L1228" s="2126">
        <f>'Part VIII-Threshold Criteria'!L58</f>
        <v>293383.86000000004</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330504.90000000002</v>
      </c>
      <c r="H1229" s="1908" t="str">
        <f>'Part VIII-Threshold Criteria'!H59</f>
        <v xml:space="preserve">x  units = </v>
      </c>
      <c r="I1229" s="1875" t="str">
        <f>IF(F1229="","",F1229*G1229)</f>
        <v/>
      </c>
      <c r="J1229" s="1815"/>
      <c r="K1229" s="1934" t="str">
        <f>'Part VIII-Threshold Criteria'!K59</f>
        <v/>
      </c>
      <c r="L1229" s="2126">
        <f>'Part VIII-Threshold Criteria'!L59</f>
        <v>363555.39000000007</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60</v>
      </c>
      <c r="G1230" s="2130"/>
      <c r="H1230" s="1938"/>
      <c r="I1230" s="2131">
        <f>SUM(I1225:I1229)</f>
        <v>13226867.600000001</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2"/>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132750</v>
      </c>
      <c r="H1232" s="1908" t="str">
        <f>'Part VIII-Threshold Criteria'!H62</f>
        <v xml:space="preserve">x  units = </v>
      </c>
      <c r="I1232" s="1875" t="str">
        <f>IF(F1232="","",F1232*G1232)</f>
        <v/>
      </c>
      <c r="J1232" s="1815"/>
      <c r="K1232" s="1934" t="str">
        <f>'Part VIII-Threshold Criteria'!K62</f>
        <v/>
      </c>
      <c r="L1232" s="2126">
        <f>'Part VIII-Threshold Criteria'!L62</f>
        <v>146025</v>
      </c>
      <c r="M1232" s="1908" t="str">
        <f>'Part VIII-Threshold Criteria'!M62</f>
        <v xml:space="preserve">x  units = </v>
      </c>
      <c r="N1232" s="1875" t="str">
        <f>IF(K1232="","",K1232*L1232)</f>
        <v/>
      </c>
      <c r="O1232" s="1896"/>
      <c r="R1232" s="2252"/>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178105.09999999998</v>
      </c>
      <c r="H1233" s="1908" t="str">
        <f>'Part VIII-Threshold Criteria'!H63</f>
        <v xml:space="preserve">x  units = </v>
      </c>
      <c r="I1233" s="1875" t="str">
        <f>IF(F1233="","",F1233*G1233)</f>
        <v/>
      </c>
      <c r="J1233" s="1815"/>
      <c r="K1233" s="1934" t="str">
        <f>'Part VIII-Threshold Criteria'!K63</f>
        <v/>
      </c>
      <c r="L1233" s="2126">
        <f>'Part VIII-Threshold Criteria'!L63</f>
        <v>195915.61</v>
      </c>
      <c r="M1233" s="1908" t="str">
        <f>'Part VIII-Threshold Criteria'!M63</f>
        <v xml:space="preserve">x  units = </v>
      </c>
      <c r="N1233" s="1875" t="str">
        <f>IF(K1233="","",K1233*L1233)</f>
        <v/>
      </c>
      <c r="O1233" s="1896"/>
      <c r="P1233" s="2133">
        <f>'Part VIII-Threshold Criteria'!P63</f>
        <v>13226867.600000001</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228992.59999999998</v>
      </c>
      <c r="H1234" s="1908" t="str">
        <f>'Part VIII-Threshold Criteria'!H64</f>
        <v xml:space="preserve">x  units = </v>
      </c>
      <c r="I1234" s="1875" t="str">
        <f>IF(F1234="","",F1234*G1234)</f>
        <v/>
      </c>
      <c r="J1234" s="1815"/>
      <c r="K1234" s="1934" t="str">
        <f>'Part VIII-Threshold Criteria'!K64</f>
        <v/>
      </c>
      <c r="L1234" s="2126">
        <f>'Part VIII-Threshold Criteria'!L64</f>
        <v>251891.86</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292048.90000000002</v>
      </c>
      <c r="H1235" s="1908" t="str">
        <f>'Part VIII-Threshold Criteria'!H65</f>
        <v xml:space="preserve">x  units = </v>
      </c>
      <c r="I1235" s="1875" t="str">
        <f>IF(F1235="","",F1235*G1235)</f>
        <v/>
      </c>
      <c r="J1235" s="1815"/>
      <c r="K1235" s="1934" t="str">
        <f>'Part VIII-Threshold Criteria'!K65</f>
        <v/>
      </c>
      <c r="L1235" s="2126">
        <f>'Part VIII-Threshold Criteria'!L65</f>
        <v>321253.79000000004</v>
      </c>
      <c r="M1235" s="1908" t="str">
        <f>'Part VIII-Threshold Criteria'!M65</f>
        <v xml:space="preserve">x  units = </v>
      </c>
      <c r="N1235" s="1875" t="str">
        <f>IF(K1235="","",K1235*L1235)</f>
        <v/>
      </c>
      <c r="P1235" s="1986" t="s">
        <v>6811</v>
      </c>
      <c r="Q1235" s="1986"/>
      <c r="R1235" s="2252"/>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365061.4</v>
      </c>
      <c r="H1236" s="1908" t="str">
        <f>'Part VIII-Threshold Criteria'!H66</f>
        <v xml:space="preserve">x  units = </v>
      </c>
      <c r="I1236" s="1875" t="str">
        <f>IF(F1236="","",F1236*G1236)</f>
        <v/>
      </c>
      <c r="J1236" s="1815"/>
      <c r="K1236" s="1934" t="str">
        <f>'Part VIII-Threshold Criteria'!K66</f>
        <v/>
      </c>
      <c r="L1236" s="2126">
        <f>'Part VIII-Threshold Criteria'!L66</f>
        <v>401567.54000000004</v>
      </c>
      <c r="M1236" s="1908" t="str">
        <f>'Part VIII-Threshold Criteria'!M66</f>
        <v xml:space="preserve">x  units = </v>
      </c>
      <c r="N1236" s="1875" t="str">
        <f>IF(K1236="","",K1236*L1236)</f>
        <v/>
      </c>
      <c r="O1236" s="1896"/>
      <c r="P1236" s="1986"/>
      <c r="Q1236" s="1986"/>
      <c r="R1236" s="2252"/>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2"/>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2"/>
      <c r="S1238" s="2252"/>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60</v>
      </c>
      <c r="G1239" s="1849"/>
      <c r="H1239" s="1858">
        <f>I1216+I1223+I1230+I1237</f>
        <v>13226867.600000001</v>
      </c>
      <c r="I1239" s="1858"/>
      <c r="J1239" s="1858"/>
      <c r="K1239" s="2134">
        <f>K1216+K1223+K1230+K1237</f>
        <v>0</v>
      </c>
      <c r="L1239" s="2135"/>
      <c r="M1239" s="1858">
        <f>N1216+N1223+N1230+N1237</f>
        <v>0</v>
      </c>
      <c r="N1239" s="1858"/>
      <c r="O1239" s="1858"/>
      <c r="P1239" s="1986"/>
      <c r="Q1239" s="1986"/>
      <c r="R1239" s="2252"/>
      <c r="S1239" s="2252"/>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The proposal is for 60 multifamily units in Hartwell, Georgia and the total development cost is below the maximum allowed total development cost for the applicable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Family</v>
      </c>
      <c r="K1243" s="449"/>
      <c r="L1243" s="449"/>
      <c r="O1243" s="1942" t="s">
        <v>1821</v>
      </c>
      <c r="P1243" s="1897"/>
      <c r="Q1243" s="1897"/>
    </row>
    <row r="1244" spans="1:32" ht="10.5" customHeight="1">
      <c r="B1244" s="1908" t="s">
        <v>3566</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The proposed development consists of 60 units that are consistent with the characterisitcs of the community and targeting families with a focus on community activities from within the neighborhood.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4251</v>
      </c>
      <c r="M1247" s="1229" t="s">
        <v>4252</v>
      </c>
      <c r="O1247" s="1942" t="s">
        <v>1821</v>
      </c>
      <c r="P1247" s="1897"/>
      <c r="Q1247" s="1897"/>
    </row>
    <row r="1248" spans="1:32" ht="1.5" customHeight="1"/>
    <row r="1249" spans="1:31" ht="12" customHeight="1">
      <c r="A1249" s="1942" t="s">
        <v>1936</v>
      </c>
      <c r="B1249" s="1936" t="s">
        <v>4244</v>
      </c>
      <c r="C1249" s="1936"/>
      <c r="D1249" s="1936"/>
      <c r="E1249" s="1936"/>
      <c r="F1249" s="1936"/>
      <c r="G1249" s="1936"/>
      <c r="H1249" s="1936"/>
      <c r="I1249" s="1936"/>
      <c r="J1249" s="1936"/>
      <c r="L1249" s="1938" t="s">
        <v>2808</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1938</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4257</v>
      </c>
      <c r="D1252" s="1936"/>
      <c r="E1252" s="1936"/>
      <c r="F1252" s="1936"/>
      <c r="G1252" s="1936"/>
      <c r="H1252" s="1936"/>
      <c r="I1252" s="1936"/>
      <c r="J1252" s="1936"/>
      <c r="K1252" s="1936"/>
      <c r="L1252" s="1936"/>
      <c r="N1252" s="1936" t="s">
        <v>4701</v>
      </c>
      <c r="O1252" s="1936"/>
      <c r="P1252" s="1229" t="str">
        <f>'Part VIII-Threshold Criteria'!P82</f>
        <v>Disagree</v>
      </c>
      <c r="Q1252" s="1229"/>
    </row>
    <row r="1253" spans="1:31" ht="12" customHeight="1">
      <c r="A1253" s="1940"/>
      <c r="B1253" s="1939" t="s">
        <v>1695</v>
      </c>
      <c r="C1253" s="1936" t="s">
        <v>4254</v>
      </c>
      <c r="D1253" s="1936"/>
      <c r="E1253" s="1936"/>
      <c r="F1253" s="1936"/>
      <c r="G1253" s="1936"/>
      <c r="H1253" s="1936"/>
      <c r="I1253" s="1936"/>
      <c r="J1253" s="1936"/>
      <c r="K1253" s="1936"/>
      <c r="L1253" s="1936"/>
      <c r="N1253" s="1936" t="s">
        <v>4702</v>
      </c>
      <c r="O1253" s="1936"/>
      <c r="P1253" s="1229" t="str">
        <f>'Part VIII-Threshold Criteria'!P83</f>
        <v>Disagree</v>
      </c>
      <c r="Q1253" s="1229"/>
    </row>
    <row r="1254" spans="1:31" ht="12" customHeight="1">
      <c r="A1254" s="1942"/>
      <c r="B1254" s="1939" t="s">
        <v>1696</v>
      </c>
      <c r="C1254" s="1936" t="s">
        <v>4255</v>
      </c>
      <c r="E1254" s="1936"/>
      <c r="F1254" s="1936"/>
      <c r="G1254" s="1936"/>
      <c r="H1254" s="1936"/>
      <c r="I1254" s="1936"/>
      <c r="J1254" s="1936"/>
      <c r="K1254" s="1936"/>
      <c r="L1254" s="1936"/>
      <c r="M1254" s="1936"/>
      <c r="N1254" s="1936" t="s">
        <v>4703</v>
      </c>
      <c r="O1254" s="1936"/>
      <c r="P1254" s="1229" t="str">
        <f>'Part VIII-Threshold Criteria'!P84</f>
        <v>Disagree</v>
      </c>
      <c r="Q1254" s="1229"/>
    </row>
    <row r="1255" spans="1:31" ht="11.1" customHeight="1">
      <c r="A1255" s="1982"/>
      <c r="B1255" s="1939" t="s">
        <v>2305</v>
      </c>
      <c r="C1255" s="1939" t="s">
        <v>4258</v>
      </c>
      <c r="D1255" s="449"/>
      <c r="E1255" s="449"/>
      <c r="F1255" s="449"/>
      <c r="G1255" s="449"/>
      <c r="H1255" s="449"/>
      <c r="I1255" s="1815"/>
      <c r="J1255" s="1815"/>
      <c r="N1255" s="1936" t="s">
        <v>4704</v>
      </c>
      <c r="O1255" s="1936"/>
      <c r="P1255" s="1229" t="str">
        <f>'Part VIII-Threshold Criteria'!P85</f>
        <v>Disagree</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4256</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The managing agent will provide on-site social/recreational programs and on-site enrichment classes on a monthly basis.  All activities to be overseen by the property manager. The applicant agrees to provide the minimum 2 services as stated above on item A. Items B.1-4 above are marked "disagree" as the applicant does not intend to hire a full or part-time activities manager or temporary staffing; additionally, the development is not for rehabilitation of existing congregate supportive housing thus a MOA has not been included.</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Rural</v>
      </c>
      <c r="J1262" s="1940" t="s">
        <v>4699</v>
      </c>
      <c r="K1262" s="449" t="str">
        <f>'Part I-Project Information'!$H$105</f>
        <v>Rural</v>
      </c>
      <c r="L1262" s="1940" t="s">
        <v>4310</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John Wall and Associates</v>
      </c>
      <c r="N1264" s="449"/>
      <c r="O1264" s="449"/>
      <c r="P1264" s="1815"/>
      <c r="Q1264" s="1229"/>
    </row>
    <row r="1265" spans="1:31" ht="10.5" customHeight="1">
      <c r="A1265" s="1940" t="s">
        <v>1938</v>
      </c>
      <c r="B1265" s="449" t="s">
        <v>4556</v>
      </c>
      <c r="D1265" s="449"/>
      <c r="E1265" s="449"/>
      <c r="F1265" s="449"/>
      <c r="L1265" s="1940" t="s">
        <v>1938</v>
      </c>
      <c r="M1265" s="449" t="str">
        <f>'Part VIII-Threshold Criteria'!M95</f>
        <v>6-7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0.97599999999999998</v>
      </c>
      <c r="N1266" s="2136"/>
      <c r="O1266" s="2136"/>
      <c r="P1266" s="2225"/>
      <c r="Q1266" s="1229"/>
    </row>
    <row r="1267" spans="1:31" ht="10.5" customHeight="1">
      <c r="A1267" s="1940" t="s">
        <v>2065</v>
      </c>
      <c r="B1267" s="449" t="s">
        <v>3666</v>
      </c>
      <c r="D1267" s="449"/>
      <c r="E1267" s="449"/>
      <c r="F1267" s="449"/>
      <c r="L1267" s="1940" t="s">
        <v>3667</v>
      </c>
      <c r="M1267" s="2226">
        <f>'Part VIII-Threshold Criteria'!M97</f>
        <v>0.10199999999999999</v>
      </c>
      <c r="N1267" s="2136"/>
      <c r="O1267" s="1941" t="s">
        <v>3806</v>
      </c>
      <c r="P1267" s="1985">
        <f>'Part VIII-Threshold Criteria'!P97</f>
        <v>0.10199999999999999</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1990-017</v>
      </c>
      <c r="E1270" s="449" t="str">
        <f>'Part VIII-Threshold Criteria'!E100</f>
        <v>East Orchard Family</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f>'Part VIII-Threshold Criteria'!E101</f>
        <v>0</v>
      </c>
      <c r="F1271" s="449"/>
      <c r="G1271" s="449"/>
      <c r="H1271" s="1940" t="s">
        <v>2305</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6870</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Per the market study included in Tab 5, the site is suitable for the development. The population and household growth in the market area is significant and the demand for the development is reasonable. The average vacancy rate is 2.4% and it is noted that the proposal would have no long term impact on the only existing LIHTC development in the primary market area. The gross rents are well below maximum allowable levels and the local economy seems to be growing. The market analyst also states that the location is well suited to the development and that goods and services are conveniently located. The development, as proposed, should be successful. Please note that all of the above listed DCA funded properties are not comparables per the market study.</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4706</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4375</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2305</v>
      </c>
      <c r="C1285" s="1908" t="s">
        <v>4260</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3353</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3354</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4558</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An appraisal is not required as there is not an identity of interest between the buyer and seller of the property; therefore, an appraisal has not been done at this time.</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3470</v>
      </c>
      <c r="D1303" s="449"/>
      <c r="E1303" s="449"/>
      <c r="F1303" s="449"/>
      <c r="G1303" s="449"/>
      <c r="H1303" s="449"/>
      <c r="I1303" s="1815"/>
      <c r="J1303" s="1815"/>
      <c r="K1303" s="1940" t="s">
        <v>1936</v>
      </c>
      <c r="L1303" s="1897" t="str">
        <f>'Part VIII-Threshold Criteria'!L133</f>
        <v>United Consulting</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No</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N/A</v>
      </c>
      <c r="M1306" s="1897"/>
      <c r="N1306" s="1897"/>
      <c r="O1306" s="1897"/>
      <c r="P1306" s="1897"/>
      <c r="Q1306" s="1229"/>
    </row>
    <row r="1307" spans="1:31" ht="12" customHeight="1">
      <c r="A1307" s="1904"/>
      <c r="B1307" s="1908" t="s">
        <v>1695</v>
      </c>
      <c r="C1307" s="449" t="s">
        <v>3355</v>
      </c>
      <c r="E1307" s="1815"/>
      <c r="F1307" s="1815"/>
      <c r="G1307" s="1815"/>
      <c r="H1307" s="449"/>
      <c r="I1307" s="1815"/>
      <c r="J1307" s="1815"/>
      <c r="K1307" s="449"/>
      <c r="L1307" s="1908"/>
      <c r="M1307" s="1908"/>
      <c r="O1307" s="1940" t="s">
        <v>1695</v>
      </c>
      <c r="P1307" s="1229">
        <f>'Part VIII-Threshold Criteria'!P137</f>
        <v>0</v>
      </c>
      <c r="Q1307" s="1229"/>
    </row>
    <row r="1308" spans="1:31" ht="12" customHeight="1">
      <c r="A1308" s="1904"/>
      <c r="B1308" s="1908" t="s">
        <v>1696</v>
      </c>
      <c r="C1308" s="449" t="s">
        <v>4245</v>
      </c>
      <c r="E1308" s="1815"/>
      <c r="F1308" s="1815"/>
      <c r="G1308" s="1815"/>
      <c r="H1308" s="449"/>
      <c r="I1308" s="1815"/>
      <c r="J1308" s="1815"/>
      <c r="K1308" s="449"/>
      <c r="L1308" s="1908"/>
      <c r="M1308" s="1908"/>
      <c r="O1308" s="1940" t="s">
        <v>1696</v>
      </c>
      <c r="P1308" s="1229">
        <f>'Part VIII-Threshold Criteria'!P138</f>
        <v>0</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4406</v>
      </c>
      <c r="I1320" s="1945" t="s">
        <v>2569</v>
      </c>
      <c r="L1320" s="1229" t="str">
        <f>'Part VIII-Threshold Criteria'!L150</f>
        <v>No</v>
      </c>
      <c r="M1320" s="1229"/>
      <c r="N1320" s="1940" t="s">
        <v>4410</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4407</v>
      </c>
      <c r="I1321" s="1945" t="s">
        <v>2570</v>
      </c>
      <c r="L1321" s="1229" t="str">
        <f>'Part VIII-Threshold Criteria'!L151</f>
        <v>No</v>
      </c>
      <c r="M1321" s="1229"/>
      <c r="N1321" s="1940" t="s">
        <v>4411</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4408</v>
      </c>
      <c r="I1322" s="1945" t="s">
        <v>3631</v>
      </c>
      <c r="L1322" s="1229" t="str">
        <f>'Part VIII-Threshold Criteria'!L152</f>
        <v>No</v>
      </c>
      <c r="M1322" s="1229"/>
      <c r="N1322" s="1940" t="s">
        <v>4412</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4409</v>
      </c>
      <c r="I1323" s="449" t="s">
        <v>2709</v>
      </c>
      <c r="L1323" s="1229" t="str">
        <f>'Part VIII-Threshold Criteria'!L153</f>
        <v>No</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2305</v>
      </c>
      <c r="C1330" s="449" t="s">
        <v>4392</v>
      </c>
      <c r="E1330" s="449"/>
      <c r="F1330" s="449"/>
      <c r="G1330" s="449"/>
      <c r="H1330" s="449"/>
      <c r="I1330" s="1815"/>
      <c r="J1330" s="1815"/>
      <c r="K1330" s="449"/>
      <c r="L1330" s="449"/>
      <c r="M1330" s="449"/>
      <c r="O1330" s="1940" t="s">
        <v>2305</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6929</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 Phase I Environmental Assessment was performed at the proposed site location and was found to be in substantial conformance with the scope and limitations of the guidelines established by DCA. The site historically consisted of undeveloped land. Based on the entirety of the Phase I Environmental Site Assessment, no on-site RECs were identified. According to the Phase I Environmental Assessment, this property was determined environmentally suitable for multi-family housing. Section F has all been marked "no" as HOME funds were not awarded to this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6871</v>
      </c>
      <c r="D1340" s="449"/>
      <c r="E1340" s="449"/>
      <c r="F1340" s="449"/>
      <c r="G1340" s="449"/>
      <c r="K1340" s="449" t="s">
        <v>2627</v>
      </c>
      <c r="M1340" s="2227">
        <f>'Part VIII-Threshold Criteria'!M170</f>
        <v>44256</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0</v>
      </c>
      <c r="K1342" s="1943" t="str">
        <f>IF(N1342="Ground lease/Option","Term:","")</f>
        <v>Term:</v>
      </c>
      <c r="L1342" s="1944">
        <f>IF(N1342="Ground lease/Option",'Part VI-Revenues &amp; Expenses'!$N$250,"")</f>
        <v>0</v>
      </c>
      <c r="M1342" s="1940" t="s">
        <v>1938</v>
      </c>
      <c r="N1342" s="1945" t="str">
        <f>'Part VIII-Threshold Criteria'!N172</f>
        <v>Ground lease/Option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The Pointe at St. Martin,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3557</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4261</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4353</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Currently the site is bordered by two (2) major paved roads. Photos of the paved roads and descriptions are located in Tab 9. Site Access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4365</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3668</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 xml:space="preserve">A letter confirming appropriate zoning was obtained from the City Manager of the City of Hartwell. The corresponding pages from the city zoning ordinance is also included. </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3566</v>
      </c>
      <c r="C1379" s="1910"/>
      <c r="D1379" s="1910"/>
      <c r="E1379" s="1910"/>
      <c r="F1379" s="1910"/>
      <c r="H1379" s="1940" t="s">
        <v>1695</v>
      </c>
      <c r="I1379" s="449" t="s">
        <v>1563</v>
      </c>
      <c r="J1379" s="449" t="str">
        <f>'Part VIII-Threshold Criteria'!J209</f>
        <v>Hart Electric Membership Corporation</v>
      </c>
      <c r="K1379" s="449"/>
      <c r="L1379" s="449"/>
      <c r="M1379" s="449"/>
      <c r="N1379" s="449"/>
      <c r="O1379" s="1940" t="s">
        <v>1695</v>
      </c>
      <c r="P1379" s="1229" t="str">
        <f>'Part VIII-Threshold Criteria'!P209</f>
        <v>Yes</v>
      </c>
      <c r="Q1379" s="1229"/>
    </row>
    <row r="1380" spans="1:31" ht="11.4" customHeight="1">
      <c r="A1380" s="1936" t="str">
        <f>'Part VIII-Threshold Criteria'!A210</f>
        <v xml:space="preserve">A letter stating that Hart Electric Membership Corporation has the ability and capacity to serve the development for electricity has been included in the application.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The City of Hartwell</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The City of Hartwell</v>
      </c>
      <c r="K1386" s="449"/>
      <c r="L1386" s="449"/>
      <c r="M1386" s="449"/>
      <c r="N1386" s="449"/>
      <c r="O1386" s="1942" t="s">
        <v>1695</v>
      </c>
      <c r="P1386" s="1229" t="str">
        <f>'Part VIII-Threshold Criteria'!P216</f>
        <v>Yes</v>
      </c>
      <c r="Q1386" s="1229"/>
    </row>
    <row r="1387" spans="1:31" ht="12" customHeight="1">
      <c r="A1387" s="1942" t="s">
        <v>1938</v>
      </c>
      <c r="B1387" s="449" t="s">
        <v>3673</v>
      </c>
      <c r="D1387" s="449"/>
      <c r="E1387" s="449"/>
      <c r="F1387" s="449"/>
      <c r="G1387" s="449"/>
      <c r="H1387" s="449"/>
      <c r="I1387" s="449"/>
      <c r="J1387" s="449"/>
      <c r="K1387" s="1815"/>
      <c r="L1387" s="449"/>
      <c r="M1387" s="449"/>
      <c r="O1387" s="1940" t="s">
        <v>1938</v>
      </c>
      <c r="P1387" s="1229">
        <f>'Part VIII-Threshold Criteria'!P217</f>
        <v>0</v>
      </c>
      <c r="Q1387" s="1229"/>
    </row>
    <row r="1388" spans="1:31" ht="12" customHeight="1">
      <c r="A1388" s="1940" t="s">
        <v>731</v>
      </c>
      <c r="B1388" s="449" t="s">
        <v>3674</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services are available to the site. The provider for water and sewer is the City of Hartwell. They provided a letter of availability for both services at The Pointe at St. Martin.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6974</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4246</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4249</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1938</v>
      </c>
      <c r="B1401" s="449" t="s">
        <v>6931</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3452</v>
      </c>
      <c r="O1402" s="2139">
        <f>'Part VI-Revenues &amp; Expenses'!$P$67</f>
        <v>60</v>
      </c>
      <c r="P1402" s="1945" t="s">
        <v>4403</v>
      </c>
      <c r="Q1402" s="1945"/>
    </row>
    <row r="1403" spans="1:18" ht="11.1" customHeight="1">
      <c r="A1403" s="1940"/>
      <c r="B1403" s="1908" t="s">
        <v>1694</v>
      </c>
      <c r="C1403" s="449" t="s">
        <v>4404</v>
      </c>
      <c r="D1403" s="449"/>
      <c r="E1403" s="449"/>
      <c r="F1403" s="449"/>
      <c r="H1403" s="1940" t="s">
        <v>4405</v>
      </c>
      <c r="I1403" s="449" t="s">
        <v>6827</v>
      </c>
      <c r="M1403" s="1815"/>
      <c r="N1403" s="1815"/>
      <c r="O1403" s="1816"/>
      <c r="P1403" s="1898" t="s">
        <v>755</v>
      </c>
      <c r="Q1403" s="1898" t="s">
        <v>4402</v>
      </c>
    </row>
    <row r="1404" spans="1:18" s="1951" customFormat="1" ht="11.4" customHeight="1">
      <c r="A1404" s="1229"/>
      <c r="B1404" s="1940" t="s">
        <v>2066</v>
      </c>
      <c r="C1404" s="1936" t="str">
        <f>'Part VIII-Threshold Criteria'!C234</f>
        <v>Equipped playground</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Fenced community gardens</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4413</v>
      </c>
      <c r="C1407" s="1936" t="str">
        <f>'Part VIII-Threshold Criteria'!C237</f>
        <v>(Select an amenity from options provided here)</v>
      </c>
      <c r="D1407" s="1936"/>
      <c r="E1407" s="1936"/>
      <c r="F1407" s="1936"/>
      <c r="G1407" s="1936"/>
      <c r="H1407" s="1940" t="s">
        <v>4413</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3348</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4561</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4262</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The proposed project is for families and not senior; therefore, Section D above is N/A. The applicant agrees to provide all of the required amenities and will also provide two additional amenities. As evidenced on the site plan, the development will feature an equipped playground and a fenced community garden.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4563</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4354</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4266</v>
      </c>
      <c r="L1432" s="2170">
        <f>'Part VIII-Threshold Criteria'!L262</f>
        <v>0</v>
      </c>
      <c r="M1432" s="449"/>
      <c r="N1432" s="1946"/>
      <c r="O1432" s="1946"/>
      <c r="P1432" s="1229">
        <f>'Part VIII-Threshold Criteria'!P262</f>
        <v>0</v>
      </c>
      <c r="Q1432" s="1229"/>
    </row>
    <row r="1433" spans="1:17" ht="11.4" customHeight="1">
      <c r="A1433" s="1940"/>
      <c r="B1433" s="449" t="s">
        <v>4263</v>
      </c>
      <c r="D1433" s="449"/>
      <c r="E1433" s="449"/>
      <c r="F1433" s="449"/>
      <c r="K1433" s="449">
        <f>'Part VIII-Threshold Criteria'!K263</f>
        <v>0</v>
      </c>
      <c r="L1433" s="449"/>
      <c r="M1433" s="449"/>
      <c r="N1433" s="449"/>
      <c r="O1433" s="449"/>
      <c r="P1433" s="449"/>
      <c r="Q1433" s="449"/>
    </row>
    <row r="1434" spans="1:17" ht="11.4" customHeight="1">
      <c r="A1434" s="1940" t="s">
        <v>2065</v>
      </c>
      <c r="B1434" s="449" t="s">
        <v>3675</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3572</v>
      </c>
      <c r="C1435" s="1936"/>
      <c r="D1435" s="1936"/>
      <c r="E1435" s="1936"/>
      <c r="F1435" s="1936"/>
      <c r="G1435" s="1936"/>
      <c r="H1435" s="1945" t="s">
        <v>3797</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3798</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3799</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3800</v>
      </c>
      <c r="K1438" s="1815"/>
      <c r="M1438" s="449"/>
      <c r="N1438" s="1946"/>
      <c r="O1438" s="1940" t="s">
        <v>2305</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a New Construction project; therefore, this section for Rehabilitation does not apply.</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3570</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4748</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4393</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4551</v>
      </c>
      <c r="D1461" s="1815"/>
      <c r="E1461" s="1815"/>
      <c r="O1461" s="1940" t="s">
        <v>1938</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6875</v>
      </c>
    </row>
    <row r="1469" spans="1:18" ht="44.25" customHeight="1">
      <c r="A1469" s="1942"/>
      <c r="B1469" s="1939" t="s">
        <v>1694</v>
      </c>
      <c r="C1469" s="1936" t="s">
        <v>3677</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3676</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3653</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3654</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Annie Walker Bryant</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4355</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2305</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project will meet or exceed all Fair Housing accessibility requirements as set forth.  In addition, Annie Walker Bryant or an alternate approved qualified consultant(s) will be used throughout the entire project from start through final inspection, per DCA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6879</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This project is a new contruction; therefore, A. Constructed and Rehabilitation Construction Hard Costs is N/A. The applicant is not proposing additional design options; therefore, part C. has also been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1821</v>
      </c>
      <c r="P1509" s="1897"/>
      <c r="Q1509" s="1897"/>
    </row>
    <row r="1510" spans="1:31" ht="11.4" customHeight="1">
      <c r="A1510" s="1940" t="s">
        <v>1936</v>
      </c>
      <c r="B1510" s="1945" t="s">
        <v>4711</v>
      </c>
      <c r="O1510" s="1942" t="s">
        <v>1936</v>
      </c>
      <c r="P1510" s="1229" t="str">
        <f>'Part VIII-Threshold Criteria'!P340</f>
        <v>Yes</v>
      </c>
      <c r="Q1510" s="1229"/>
    </row>
    <row r="1511" spans="1:31" ht="11.4" customHeight="1">
      <c r="A1511" s="1942" t="s">
        <v>1938</v>
      </c>
      <c r="B1511" s="1945" t="s">
        <v>3775</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3628</v>
      </c>
      <c r="O1513" s="1940" t="s">
        <v>2065</v>
      </c>
      <c r="P1513" s="1229" t="str">
        <f>'Part VIII-Threshold Criteria'!P343</f>
        <v>No</v>
      </c>
      <c r="Q1513" s="1229"/>
    </row>
    <row r="1514" spans="1:31" ht="11.4" customHeight="1">
      <c r="A1514" s="1942" t="s">
        <v>1692</v>
      </c>
      <c r="B1514" s="1945" t="s">
        <v>2782</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2783</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During the pre-application determination the Certifying GP and Developer were deemed "Qualified". There have not been any changes to the project team since the pre-application submission.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3767</v>
      </c>
      <c r="D1522" s="1815"/>
      <c r="E1522" s="1815"/>
      <c r="F1522" s="1815"/>
      <c r="G1522" s="1815"/>
      <c r="H1522" s="1940" t="s">
        <v>1936</v>
      </c>
      <c r="I1522" s="449" t="str">
        <f>'Part VIII-Threshold Criteria'!I352</f>
        <v>National Affordable Housing Preservation Associates, Inc.</v>
      </c>
      <c r="J1522" s="449"/>
      <c r="K1522" s="449"/>
      <c r="L1522" s="449"/>
      <c r="M1522" s="449"/>
      <c r="N1522" s="449"/>
      <c r="O1522" s="449"/>
      <c r="P1522" s="449"/>
      <c r="Q1522" s="1229"/>
    </row>
    <row r="1523" spans="1:31" ht="10.5" customHeight="1">
      <c r="A1523" s="1942" t="s">
        <v>1938</v>
      </c>
      <c r="B1523" s="449" t="s">
        <v>3768</v>
      </c>
      <c r="D1523" s="1815"/>
      <c r="E1523" s="1815"/>
      <c r="F1523" s="1815"/>
      <c r="G1523" s="1815"/>
      <c r="H1523" s="1942" t="s">
        <v>1938</v>
      </c>
      <c r="I1523" s="449" t="str">
        <f>'Part VIII-Threshold Criteria'!I353</f>
        <v>www.nahpa.org</v>
      </c>
      <c r="J1523" s="449"/>
      <c r="K1523" s="449"/>
      <c r="L1523" s="449"/>
      <c r="M1523" s="449"/>
      <c r="N1523" s="449"/>
      <c r="O1523" s="449"/>
      <c r="P1523" s="449"/>
      <c r="Q1523" s="1229"/>
    </row>
    <row r="1524" spans="1:31" ht="21.75" customHeight="1">
      <c r="A1524" s="1942" t="s">
        <v>731</v>
      </c>
      <c r="B1524" s="449" t="s">
        <v>3759</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2065</v>
      </c>
      <c r="B1525" s="1936" t="s">
        <v>3760</v>
      </c>
      <c r="C1525" s="1936"/>
      <c r="D1525" s="1936"/>
      <c r="E1525" s="1936"/>
      <c r="F1525" s="1936"/>
      <c r="G1525" s="1936"/>
      <c r="H1525" s="1936"/>
      <c r="I1525" s="1936"/>
      <c r="J1525" s="1936"/>
      <c r="K1525" s="1936"/>
      <c r="L1525" s="1936"/>
      <c r="M1525" s="1936"/>
      <c r="N1525" s="1936"/>
      <c r="O1525" s="1940" t="s">
        <v>2065</v>
      </c>
      <c r="P1525" s="1938" t="str">
        <f>'Part VIII-Threshold Criteria'!P355</f>
        <v>Yes</v>
      </c>
      <c r="Q1525" s="1938"/>
    </row>
    <row r="1526" spans="1:31" ht="10.5" customHeight="1">
      <c r="A1526" s="1942" t="s">
        <v>1692</v>
      </c>
      <c r="B1526" s="449" t="s">
        <v>3761</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3762</v>
      </c>
      <c r="C1527" s="1936"/>
      <c r="D1527" s="1936"/>
      <c r="E1527" s="1936"/>
      <c r="F1527" s="1936"/>
      <c r="G1527" s="1936"/>
      <c r="H1527" s="1936"/>
      <c r="I1527" s="1936"/>
      <c r="J1527" s="1936"/>
      <c r="K1527" s="1936"/>
      <c r="L1527" s="1936"/>
      <c r="M1527" s="1936"/>
      <c r="N1527" s="1936"/>
      <c r="O1527" s="1942" t="s">
        <v>1693</v>
      </c>
      <c r="P1527" s="1938" t="str">
        <f>'Part VIII-Threshold Criteria'!P357</f>
        <v>No</v>
      </c>
      <c r="Q1527" s="1938"/>
    </row>
    <row r="1528" spans="1:31" s="1910" customFormat="1" ht="10.5" customHeight="1">
      <c r="A1528" s="1942" t="s">
        <v>1900</v>
      </c>
      <c r="B1528" s="1936" t="s">
        <v>3763</v>
      </c>
      <c r="D1528" s="1936"/>
      <c r="E1528" s="1936"/>
      <c r="F1528" s="1936"/>
      <c r="G1528" s="1936"/>
      <c r="H1528" s="1936"/>
      <c r="I1528" s="1936"/>
      <c r="J1528" s="1936"/>
      <c r="K1528" s="1936"/>
      <c r="L1528" s="1936"/>
      <c r="M1528" s="1936"/>
      <c r="N1528" s="1936"/>
      <c r="O1528" s="1942" t="s">
        <v>1900</v>
      </c>
      <c r="P1528" s="1938" t="str">
        <f>'Part VIII-Threshold Criteria'!P358</f>
        <v>Yes</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3764</v>
      </c>
      <c r="C1530" s="1936"/>
      <c r="D1530" s="1936"/>
      <c r="E1530" s="1936"/>
      <c r="F1530" s="1936"/>
      <c r="G1530" s="1936"/>
      <c r="H1530" s="1936"/>
      <c r="I1530" s="1936"/>
      <c r="J1530" s="1936"/>
      <c r="K1530" s="1936"/>
      <c r="L1530" s="1936"/>
      <c r="M1530" s="1936"/>
      <c r="N1530" s="1936"/>
      <c r="O1530" s="1942" t="s">
        <v>3264</v>
      </c>
      <c r="P1530" s="1938" t="str">
        <f>'Part VIII-Threshold Criteria'!P360</f>
        <v>Yes</v>
      </c>
      <c r="Q1530" s="1938"/>
    </row>
    <row r="1531" spans="1:31" ht="33" customHeight="1">
      <c r="A1531" s="1942" t="s">
        <v>598</v>
      </c>
      <c r="B1531" s="1936" t="s">
        <v>3765</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Crest at Hastings, LP.  NAHPA 2018 GA, Inc. is wholly owned by National Affordable Housing Preservation Associates, Inc. a 501(c)3 nonprofit. A nonprofit opinion letter and the development agreement and with all exhibits have been included.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4695</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4362</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3681</v>
      </c>
      <c r="J1541" s="1978">
        <f>'Part VIII-Threshold Criteria'!J371</f>
        <v>0</v>
      </c>
      <c r="K1541" s="1978"/>
      <c r="O1541" s="1940"/>
    </row>
    <row r="1542" spans="1:18" s="1815" customFormat="1" ht="11.25" customHeight="1">
      <c r="A1542" s="1940"/>
      <c r="B1542" s="1908" t="s">
        <v>1696</v>
      </c>
      <c r="C1542" s="449" t="s">
        <v>3682</v>
      </c>
      <c r="D1542" s="1896"/>
      <c r="E1542" s="449"/>
      <c r="I1542" s="449"/>
      <c r="J1542" s="449">
        <f>'Part I-Project Information'!K1210</f>
        <v>0</v>
      </c>
      <c r="K1542" s="449"/>
      <c r="L1542" s="1908" t="s">
        <v>3683</v>
      </c>
      <c r="M1542" s="449"/>
      <c r="N1542" s="449"/>
      <c r="O1542" s="1940" t="s">
        <v>1696</v>
      </c>
      <c r="P1542" s="1229">
        <f>'Part VIII-Threshold Criteria'!P372</f>
        <v>0</v>
      </c>
      <c r="Q1542" s="1229"/>
    </row>
    <row r="1543" spans="1:18" s="1815" customFormat="1" ht="11.25" customHeight="1">
      <c r="A1543" s="1940"/>
      <c r="B1543" s="1908" t="s">
        <v>2305</v>
      </c>
      <c r="C1543" s="449" t="s">
        <v>4356</v>
      </c>
      <c r="E1543" s="449"/>
      <c r="F1543" s="449"/>
      <c r="G1543" s="449"/>
      <c r="H1543" s="449" t="s">
        <v>4357</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4358</v>
      </c>
      <c r="I1544" s="449"/>
      <c r="J1544" s="449">
        <f>'Part VIII-Threshold Criteria'!J374</f>
        <v>0</v>
      </c>
      <c r="K1544" s="449"/>
      <c r="L1544" s="449"/>
      <c r="M1544" s="449"/>
      <c r="N1544" s="449"/>
      <c r="O1544" s="1940"/>
    </row>
    <row r="1545" spans="1:18" s="1815" customFormat="1" ht="11.25" customHeight="1">
      <c r="A1545" s="1940"/>
      <c r="B1545" s="1908" t="s">
        <v>1516</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4359</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3687</v>
      </c>
      <c r="D1548" s="449"/>
      <c r="E1548" s="449"/>
      <c r="F1548" s="449"/>
      <c r="G1548" s="449"/>
      <c r="H1548" s="449"/>
      <c r="P1548" s="449"/>
      <c r="Q1548" s="449"/>
      <c r="R1548" s="449"/>
    </row>
    <row r="1549" spans="1:18" s="1815" customFormat="1" ht="11.25" customHeight="1">
      <c r="B1549" s="1908" t="s">
        <v>1694</v>
      </c>
      <c r="C1549" s="1908" t="s">
        <v>4394</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1695</v>
      </c>
      <c r="C1551" s="1908" t="s">
        <v>3688</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3690</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3692</v>
      </c>
      <c r="E1553" s="449"/>
      <c r="F1553" s="449"/>
      <c r="G1553" s="449"/>
      <c r="H1553" s="449"/>
      <c r="M1553" s="449"/>
      <c r="N1553" s="449"/>
      <c r="O1553" s="1940" t="s">
        <v>2305</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applicant does not wish to compete under the Rural HOME Preservation Set-Aside.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3347</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3356</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3519</v>
      </c>
      <c r="G1564" s="1908"/>
      <c r="H1564" s="1908"/>
      <c r="I1564" s="1908"/>
      <c r="J1564" s="1908" t="s">
        <v>3520</v>
      </c>
      <c r="L1564" s="1908"/>
      <c r="M1564" s="2144">
        <f>'Part VIII-Threshold Criteria'!M394</f>
        <v>0</v>
      </c>
      <c r="N1564" s="2144"/>
      <c r="O1564" s="1940" t="s">
        <v>2065</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applicant is not a CHDO and is not competing under the CHDO set-aside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3443</v>
      </c>
      <c r="D1572" s="1936"/>
      <c r="E1572" s="1936"/>
      <c r="O1572" s="1940" t="s">
        <v>1938</v>
      </c>
      <c r="P1572" s="1229">
        <f>'Part VIII-Threshold Criteria'!P402</f>
        <v>0</v>
      </c>
      <c r="Q1572" s="1229"/>
    </row>
    <row r="1573" spans="1:31" ht="12" customHeight="1">
      <c r="A1573" s="1940" t="s">
        <v>731</v>
      </c>
      <c r="B1573" s="449" t="s">
        <v>4712</v>
      </c>
      <c r="D1573" s="1936"/>
      <c r="E1573" s="1936"/>
      <c r="O1573" s="1940" t="s">
        <v>731</v>
      </c>
      <c r="P1573" s="1229" t="str">
        <f>'Part VIII-Threshold Criteria'!P403</f>
        <v>Yes</v>
      </c>
      <c r="Q1573" s="1229"/>
    </row>
    <row r="1574" spans="1:31" ht="12" customHeight="1">
      <c r="A1574" s="1940" t="s">
        <v>2065</v>
      </c>
      <c r="B1574" s="449" t="s">
        <v>3444</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A non-profit legal opinion has been included with tab 21.</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4534</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4715</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3357</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3438</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4368</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3645</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4276</v>
      </c>
      <c r="M1599" s="449">
        <f>'Part VIII-Threshold Criteria'!M429</f>
        <v>0</v>
      </c>
      <c r="N1599" s="449"/>
      <c r="O1599" s="449"/>
      <c r="P1599" s="449"/>
      <c r="Q1599" s="449"/>
    </row>
    <row r="1600" spans="1:17" ht="12" customHeight="1">
      <c r="A1600" s="1815"/>
      <c r="C1600" s="1945" t="s">
        <v>4415</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The proposed site is currently vacant; therefore, relocation will not be necessary.</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2720</v>
      </c>
      <c r="C1611" s="1815"/>
      <c r="D1611" s="449"/>
      <c r="E1611" s="1939"/>
      <c r="F1611" s="1939"/>
      <c r="G1611" s="1939"/>
      <c r="H1611" s="1939"/>
      <c r="O1611" s="1942" t="s">
        <v>1821</v>
      </c>
      <c r="P1611" s="1897"/>
      <c r="Q1611" s="1897"/>
    </row>
    <row r="1612" spans="1:31" ht="14.1" customHeight="1">
      <c r="B1612" s="449" t="s">
        <v>4460</v>
      </c>
      <c r="C1612" s="1815"/>
      <c r="D1612" s="449"/>
      <c r="E1612" s="1939"/>
      <c r="F1612" s="1939"/>
      <c r="G1612" s="1939"/>
      <c r="H1612" s="1939"/>
    </row>
    <row r="1613" spans="1:31" s="1910" customFormat="1" ht="21.75" customHeight="1">
      <c r="A1613" s="1942" t="s">
        <v>1936</v>
      </c>
      <c r="B1613" s="1936" t="s">
        <v>3694</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3693</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4416</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4417</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4418</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4419</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3695</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4501</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 xml:space="preserve">If selected the applicant agrees to adhere to the AFFH Marketing plan that meets all of the above criteria and strategies.  </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2639</v>
      </c>
      <c r="D1628" s="1945"/>
      <c r="E1628" s="449"/>
      <c r="J1628" s="1908"/>
      <c r="M1628" s="1896"/>
      <c r="N1628" s="1896"/>
      <c r="O1628" s="1942" t="s">
        <v>1821</v>
      </c>
      <c r="P1628" s="1897"/>
      <c r="Q1628" s="1897"/>
    </row>
    <row r="1629" spans="1:31" s="1950" customFormat="1" ht="15" customHeight="1">
      <c r="A1629" s="1942" t="s">
        <v>1936</v>
      </c>
      <c r="B1629" s="1936" t="s">
        <v>4585</v>
      </c>
      <c r="C1629" s="1936"/>
      <c r="D1629" s="1936"/>
      <c r="E1629" s="1936"/>
      <c r="F1629" s="1936"/>
      <c r="G1629" s="1936"/>
      <c r="H1629" s="1936"/>
      <c r="I1629" s="1936"/>
      <c r="J1629" s="1945" t="s">
        <v>4456</v>
      </c>
      <c r="K1629" s="1945"/>
      <c r="L1629" s="1843" t="s">
        <v>4587</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4457</v>
      </c>
      <c r="M1630" s="1947"/>
      <c r="N1630" s="1926">
        <f>'Part VI-Revenues &amp; Expenses'!$P$63</f>
        <v>60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60</v>
      </c>
      <c r="P1631" s="1936"/>
      <c r="Q1631" s="1936"/>
    </row>
    <row r="1632" spans="1:31" s="1936" customFormat="1" ht="22.5" customHeight="1">
      <c r="A1632" s="1942" t="s">
        <v>1938</v>
      </c>
      <c r="B1632" s="1936" t="s">
        <v>4591</v>
      </c>
      <c r="J1632" s="449" t="s">
        <v>4586</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4360</v>
      </c>
      <c r="J1633" s="449" t="s">
        <v>4280</v>
      </c>
      <c r="K1633" s="1958">
        <f>'Part VI-Revenues &amp; Expenses'!$P$115</f>
        <v>60</v>
      </c>
      <c r="L1633" s="1908" t="s">
        <v>4279</v>
      </c>
      <c r="M1633" s="1947"/>
      <c r="N1633" s="1926">
        <f>ROUNDUP(N1631*0.1,0)</f>
        <v>6</v>
      </c>
      <c r="O1633" s="1949" t="s">
        <v>731</v>
      </c>
      <c r="P1633" s="1936" t="str">
        <f>'Part VIII-Threshold Criteria'!P463</f>
        <v>Yes</v>
      </c>
      <c r="R1633" s="1822"/>
      <c r="S1633" s="1822"/>
    </row>
    <row r="1634" spans="1:31" s="1936" customFormat="1" ht="12" customHeight="1">
      <c r="J1634" s="449" t="s">
        <v>4281</v>
      </c>
      <c r="K1634" s="2147">
        <f>IF(N1631=0,"",K1633/N1631)</f>
        <v>1</v>
      </c>
      <c r="L1634" s="1908" t="s">
        <v>4455</v>
      </c>
      <c r="M1634" s="449"/>
      <c r="N1634" s="2148">
        <f>'Part VI-Revenues &amp; Expenses'!$L$67/'Part VI-Revenues &amp; Expenses'!$P$67</f>
        <v>0.13333333333333333</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4282</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1941</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The applicant has set aside a total of 8 one-bedroom units to be designated for 811 assistance. The application does not have a commitment of HUD Section 8 project-based rental assistance.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Funding of this development will not result in a waste of DCA resources. Additionally, it should be noted that none of the Project Team members have made conditional promises or financial commitments to the Local Government in order to obtain support.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4696</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4361</v>
      </c>
      <c r="D1651" s="1908"/>
      <c r="E1651" s="1908"/>
      <c r="F1651" s="1952"/>
      <c r="G1651" s="1995"/>
      <c r="K1651" s="1940"/>
      <c r="M1651" s="1896"/>
      <c r="N1651" s="1940"/>
      <c r="P1651" s="1229" t="str">
        <f>'Part VIII-Threshold Criteria'!P481</f>
        <v>Yes</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2020-091 The Pointe at St. Martin,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3"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6934</v>
      </c>
      <c r="R1665" s="449"/>
      <c r="S1665" s="449"/>
      <c r="T1665" s="449"/>
      <c r="U1665" s="449"/>
      <c r="V1665" s="449"/>
    </row>
    <row r="1666" spans="1:22" s="1815" customFormat="1" ht="11.25" customHeight="1">
      <c r="A1666" s="1993" t="s">
        <v>724</v>
      </c>
      <c r="B1666" s="1956" t="s">
        <v>3813</v>
      </c>
      <c r="C1666" s="1956"/>
      <c r="D1666" s="1956"/>
      <c r="E1666" s="2149">
        <f>'Part IX Scoring Criteria'!E11</f>
        <v>10</v>
      </c>
      <c r="F1666" s="1986" t="str">
        <f>'Part IX Scoring Criteria'!F11</f>
        <v xml:space="preserve">There are no undesirable amentities near the proposed site. There are a total of 15 desirable sites within two miles of the proposed site. There are two desirable amenities within .5 mile (medical care provider and a restaurant) and 13 desirable amenities greater than .5 mile but less than two miles (big box, retail, grocery store, pharmacy, school, town square, rec center, public park, public library, fire station, bank, and post office) from the proposed site. There is not a licensed day care service within two miles of the proposed property; therefore, it was not selected on the desirable activiites worksheet and a license is not provided as evidence.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1</v>
      </c>
      <c r="F1667" s="1986" t="str">
        <f>'Part IX Scoring Criteria'!F12</f>
        <v xml:space="preserve">The Hart County Public Transit System will be providing transport for all residents of The Pointe at St. Martin.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The Pointe at St. Martin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3814</v>
      </c>
      <c r="C1669" s="1956"/>
      <c r="D1669" s="1956"/>
      <c r="E1669" s="2149">
        <f>'Part IX Scoring Criteria'!E14</f>
        <v>2</v>
      </c>
      <c r="F1669" s="1986" t="str">
        <f>'Part IX Scoring Criteria'!F14</f>
        <v xml:space="preserve">Hartwell Elemenarty is the only scool that is zoned for the proposed development site that scores above the CCRPI state average.  We have included a letter confirming the applicable school districts for the proposed site. The site exceeds the minimum jobs threshold by 32%. Therefore, we are claiming 1 point. </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3815</v>
      </c>
      <c r="C1670" s="1956"/>
      <c r="D1670" s="1956"/>
      <c r="E1670" s="2149">
        <f>'Part IX Scoring Criteria'!E15</f>
        <v>0</v>
      </c>
      <c r="F1670" s="1986" t="str">
        <f>'Part IX Scoring Criteria'!F15</f>
        <v>Applicants are ineligible to claim points in either Scoring Sections VII. Revitalization/Redevelopment Plans or VIII. Community Transformation if claiming points in either Scoring Sections VI. Place-Based Opportunity or IX. Stable Communities.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t="str">
        <f>'Part IX Scoring Criteria'!F16</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2</v>
      </c>
      <c r="F1672" s="1986" t="str">
        <f>'Part IX Scoring Criteria'!F17</f>
        <v xml:space="preserve">Documenation supporting the Low-Poverty Communities has been included in the application. This site is eligible for 1 point in the Enterprise Community Partners Opportunity 360 section of IX. Stable Communities.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4346</v>
      </c>
      <c r="B1673" s="1956" t="s">
        <v>3598</v>
      </c>
      <c r="C1673" s="1956"/>
      <c r="D1673" s="1956"/>
      <c r="E1673" s="2149">
        <f>'Part IX Scoring Criteria'!E18</f>
        <v>0</v>
      </c>
      <c r="F1673" s="1986" t="str">
        <f>'Part IX Scoring Criteria'!F18</f>
        <v>The proposed site does not have either of the Community Designations listed above; therefore, XI is N/Ap</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The development is not a phased development; therefore, XIII.A. is N/Ap.</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4</v>
      </c>
      <c r="F1675" s="1986" t="str">
        <f>'Part IX Scoring Criteria'!F20</f>
        <v xml:space="preserve">The applicant has claimed 4 points above. If funded, this development would be only the second LIHTC development to be funded in the City of Hartwell political jurisdiction. In the 2007 funding round, Juniper Court (2007-043) was funded in the County of Hart. It was confirmed by the core application that this development was outside of the Hartwell city limits and solely in the boundaries of the county. The development has since been annexed into the city. The only other develolment that has been funded that is in the city limits of Hartwell is Chandler Trace (2017-069). Therefore, we are claiming 4 points in XIII. PREVIOUS POINTS since the City of Hartwell has only received one (1) 9% credit award in the last 15 DCA Housing Credit Competitive Rounds. </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1</v>
      </c>
      <c r="F1676" s="1986" t="str">
        <f>'Part IX Scoring Criteria'!F21</f>
        <v xml:space="preserve">We have received a letter of support from the primary contact from the Hartwell GICH Team for The Pointe at St. Martin. We have also received the letter of support from the Mayor of Hartwell in support of the development.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2</v>
      </c>
      <c r="F1677" s="1986" t="str">
        <f>'Part IX Scoring Criteria'!F22</f>
        <v xml:space="preserve">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 The commitment included within the application is from United Bank which is a commecial bank. Per the DCA Q&amp;A dated 2-27-20, "a commercial bank is an elegible lender/grantor under scoring item #10 so long as all requirements listed under Section XVI. Favorable Financing are met."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t="str">
        <f>'Part IX Scoring Criteria'!F23</f>
        <v xml:space="preserve">Section XVIII. Historic Preservation is not applicable. </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4285</v>
      </c>
      <c r="D1682" s="1897"/>
      <c r="E1682" s="1897"/>
      <c r="F1682" s="1229"/>
      <c r="M1682" s="1896"/>
      <c r="N1682" s="1940" t="s">
        <v>1936</v>
      </c>
    </row>
    <row r="1683" spans="1:20" s="1951" customFormat="1" ht="11.25" customHeight="1">
      <c r="A1683" s="1904"/>
      <c r="B1683" s="2151" t="s">
        <v>1939</v>
      </c>
      <c r="C1683" s="1897" t="s">
        <v>4288</v>
      </c>
      <c r="D1683" s="1897"/>
      <c r="E1683" s="1897"/>
      <c r="F1683" s="1229"/>
      <c r="H1683" s="1822" t="s">
        <v>3481</v>
      </c>
      <c r="J1683" s="449"/>
      <c r="M1683" s="1896"/>
      <c r="N1683" s="1949" t="s">
        <v>1939</v>
      </c>
      <c r="O1683" s="1916">
        <f>'Part IX Scoring Criteria'!O28</f>
        <v>0</v>
      </c>
      <c r="P1683" s="1916">
        <f>F1691</f>
        <v>0</v>
      </c>
    </row>
    <row r="1684" spans="1:20" s="1951" customFormat="1" ht="11.25" customHeight="1">
      <c r="A1684" s="1904"/>
      <c r="B1684" s="2151" t="s">
        <v>1941</v>
      </c>
      <c r="C1684" s="1897" t="s">
        <v>6828</v>
      </c>
      <c r="D1684" s="1897"/>
      <c r="E1684" s="1897"/>
      <c r="F1684" s="1229"/>
      <c r="H1684" s="1822" t="s">
        <v>4286</v>
      </c>
      <c r="J1684" s="449"/>
      <c r="M1684" s="1896"/>
      <c r="N1684" s="1949" t="s">
        <v>1941</v>
      </c>
      <c r="O1684" s="1916">
        <f>'Part IX Scoring Criteria'!O29</f>
        <v>0</v>
      </c>
      <c r="P1684" s="1916">
        <f>J1691</f>
        <v>0</v>
      </c>
    </row>
    <row r="1685" spans="1:20" s="1951" customFormat="1" ht="11.25" customHeight="1">
      <c r="A1685" s="1904"/>
      <c r="B1685" s="2151" t="s">
        <v>2468</v>
      </c>
      <c r="C1685" s="1897" t="s">
        <v>4287</v>
      </c>
      <c r="D1685" s="1897"/>
      <c r="E1685" s="1897"/>
      <c r="F1685" s="1229"/>
      <c r="H1685" s="1822" t="s">
        <v>4291</v>
      </c>
      <c r="J1685" s="449"/>
      <c r="M1685" s="1896"/>
      <c r="N1685" s="1949" t="s">
        <v>2468</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6935</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4437</v>
      </c>
      <c r="B1690" s="1849"/>
      <c r="C1690" s="1849"/>
      <c r="D1690" s="1849"/>
      <c r="E1690" s="1849"/>
      <c r="F1690" s="1816" t="s">
        <v>3810</v>
      </c>
      <c r="G1690" s="449" t="s">
        <v>4438</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4439</v>
      </c>
      <c r="J1707" s="2155"/>
      <c r="K1707" s="2155" t="str">
        <f>'Part I-Project Information'!$K$94</f>
        <v>Income Averaging</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4294</v>
      </c>
      <c r="D1710" s="449"/>
      <c r="H1710" s="449" t="s">
        <v>4295</v>
      </c>
      <c r="I1710" s="1822"/>
      <c r="K1710" s="2157">
        <f>'Part IX Scoring Criteria'!K55</f>
        <v>58</v>
      </c>
      <c r="L1710" s="1849" t="str">
        <f>IF(AND(O1710&gt;0,O1711&gt;0), "CHOOSE EITHER A OR B, NOT BOTH!", "")</f>
        <v/>
      </c>
      <c r="M1710" s="1732">
        <v>2</v>
      </c>
      <c r="N1710" s="1960" t="s">
        <v>1939</v>
      </c>
      <c r="O1710" s="1923">
        <f>'Part IX Scoring Criteria'!O55</f>
        <v>2</v>
      </c>
      <c r="P1710" s="1923"/>
      <c r="Q1710" s="1843" t="str">
        <f>IF(OR($O1710=$M1710,$O1710=0,$O1710=""),"","*CHECK!*")</f>
        <v/>
      </c>
      <c r="R1710" s="1823" t="s">
        <v>4767</v>
      </c>
    </row>
    <row r="1711" spans="1:18" s="1947" customFormat="1" ht="13.5" customHeight="1">
      <c r="A1711" s="1940" t="s">
        <v>3238</v>
      </c>
      <c r="B1711" s="2156" t="s">
        <v>1941</v>
      </c>
      <c r="C1711" s="1959" t="s">
        <v>4296</v>
      </c>
      <c r="D1711" s="449"/>
      <c r="I1711" s="1822"/>
      <c r="K1711" s="449"/>
      <c r="L1711" s="1849"/>
      <c r="M1711" s="1732">
        <v>2</v>
      </c>
      <c r="N1711" s="1960" t="s">
        <v>1941</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6937</v>
      </c>
      <c r="E1713" s="1945"/>
      <c r="H1713" s="1822" t="s">
        <v>4297</v>
      </c>
      <c r="I1713" s="1822"/>
      <c r="J1713" s="1961" t="s">
        <v>4298</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3483</v>
      </c>
      <c r="E1714" s="1945"/>
      <c r="F1714" s="1944"/>
      <c r="H1714" s="2160">
        <f>'Part IX Scoring Criteria'!H59</f>
        <v>0</v>
      </c>
      <c r="I1714" s="2160"/>
      <c r="J1714" s="2161">
        <f>'Part IX Scoring Criteria'!J59</f>
        <v>60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3707</v>
      </c>
      <c r="E1715" s="2162"/>
      <c r="F1715" s="1944"/>
      <c r="I1715" s="1953"/>
      <c r="J1715" s="1953"/>
      <c r="K1715" s="1953"/>
      <c r="L1715" s="1953"/>
      <c r="M1715" s="1953"/>
      <c r="N1715" s="1949" t="s">
        <v>1941</v>
      </c>
      <c r="O1715" s="1229" t="str">
        <f>'Part IX Scoring Criteria'!O60</f>
        <v>No</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6938</v>
      </c>
      <c r="J1722" s="1956"/>
      <c r="K1722" s="1956"/>
      <c r="L1722" s="1956"/>
      <c r="M1722" s="1896">
        <v>10</v>
      </c>
      <c r="N1722" s="1960" t="s">
        <v>1936</v>
      </c>
      <c r="O1722" s="1923">
        <f>'Part IX Scoring Criteria'!O67</f>
        <v>10</v>
      </c>
      <c r="P1722" s="1923"/>
      <c r="Q1722" s="1843" t="str">
        <f>IF(OR($O1722=$M1722,$O1722=0,$O1722=""),"","*CHECK!*")</f>
        <v/>
      </c>
      <c r="R1722" s="1823" t="s">
        <v>4767</v>
      </c>
    </row>
    <row r="1723" spans="1:18" s="1947" customFormat="1" ht="12.6" customHeight="1">
      <c r="A1723" s="1904" t="s">
        <v>1938</v>
      </c>
      <c r="B1723" s="1897" t="s">
        <v>3629</v>
      </c>
      <c r="D1723" s="1962"/>
      <c r="F1723" s="1963"/>
      <c r="H1723" s="1863" t="s">
        <v>3729</v>
      </c>
      <c r="I1723" s="1956"/>
      <c r="J1723" s="1956"/>
      <c r="K1723" s="1956"/>
      <c r="L1723" s="1956"/>
      <c r="M1723" s="1229" t="s">
        <v>1212</v>
      </c>
      <c r="N1723" s="1940" t="s">
        <v>1938</v>
      </c>
      <c r="O1723" s="1923">
        <f>'Part IX Scoring Criteria'!O68</f>
        <v>0</v>
      </c>
      <c r="P1723" s="1923"/>
      <c r="R1723" s="1823" t="s">
        <v>4767</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There are no undesirable amentities near the proposed site. There are a total of 15 desirable sites within two miles of the proposed site. There are two desirable amenities within .5 mile (medical care provider and a restaurant) and 13 desirable amenities greater than .5 mile but less than two miles (big box, retail, grocery store, pharmacy, school, town square, rec center, public park, public library, fire station, bank, and post office) from the proposed site. There is not a licensed day care service within two miles of the proposed property; therefore, it was not selected on the desirable activiites worksheet and a license is not provided as evidence.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3708</v>
      </c>
      <c r="D1730" s="2163"/>
      <c r="H1730" s="1897" t="s">
        <v>2703</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1939</v>
      </c>
      <c r="C1731" s="449" t="s">
        <v>4304</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4305</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6910</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4300</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3536</v>
      </c>
      <c r="G1736" s="1897"/>
      <c r="H1736" s="1897"/>
      <c r="I1736" s="1897"/>
      <c r="J1736" s="1897" t="s">
        <v>3537</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3713</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3560</v>
      </c>
      <c r="D1744" s="2163"/>
      <c r="F1744" s="449" t="s">
        <v>6911</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6939</v>
      </c>
      <c r="D1745" s="1936"/>
      <c r="E1745" s="1936"/>
      <c r="F1745" s="1936"/>
      <c r="G1745" s="1936"/>
      <c r="H1745" s="1936"/>
      <c r="I1745" s="1963" t="s">
        <v>6940</v>
      </c>
      <c r="J1745" s="1963"/>
      <c r="K1745" s="1963"/>
      <c r="L1745" s="1963"/>
      <c r="M1745" s="1967">
        <v>5</v>
      </c>
      <c r="N1745" s="1968" t="s">
        <v>1939</v>
      </c>
      <c r="O1745" s="2166">
        <f>'Part IX Scoring Criteria'!O90</f>
        <v>0</v>
      </c>
      <c r="P1745" s="2166"/>
      <c r="Q1745" s="1843" t="str">
        <f>IF(OR($O1745=$M1745,$O1745=0,$O1745=""),"","*CHECK!*")</f>
        <v/>
      </c>
      <c r="R1745" s="1823" t="s">
        <v>4767</v>
      </c>
    </row>
    <row r="1746" spans="1:21" s="1950" customFormat="1" ht="12" customHeight="1">
      <c r="A1746" s="1229" t="s">
        <v>1326</v>
      </c>
      <c r="B1746" s="1968" t="s">
        <v>1941</v>
      </c>
      <c r="C1746" s="1936" t="s">
        <v>6941</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4767</v>
      </c>
    </row>
    <row r="1747" spans="1:21" s="1950" customFormat="1" ht="12" customHeight="1">
      <c r="B1747" s="1968" t="s">
        <v>2468</v>
      </c>
      <c r="C1747" s="1936" t="s">
        <v>3561</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4767</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3562</v>
      </c>
      <c r="C1750" s="1772"/>
      <c r="D1750" s="1772"/>
      <c r="E1750" s="1772"/>
      <c r="F1750" s="1936" t="s">
        <v>6912</v>
      </c>
      <c r="I1750" s="1956" t="str">
        <f>'Part IX Scoring Criteria'!I95</f>
        <v>Hart County Public Transit</v>
      </c>
      <c r="J1750" s="1956"/>
      <c r="K1750" s="1956"/>
      <c r="L1750" s="2230">
        <f>'Part IX Scoring Criteria'!L95</f>
        <v>7063763975</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lisaevans@hartcountyga.gov</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1939</v>
      </c>
      <c r="C1753" s="449" t="s">
        <v>6942</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4767</v>
      </c>
    </row>
    <row r="1754" spans="1:21" s="1951" customFormat="1" ht="12" customHeight="1">
      <c r="A1754" s="1229" t="s">
        <v>1326</v>
      </c>
      <c r="B1754" s="2167" t="s">
        <v>1941</v>
      </c>
      <c r="C1754" s="449" t="s">
        <v>6943</v>
      </c>
      <c r="D1754" s="449"/>
      <c r="E1754" s="449"/>
      <c r="F1754" s="449"/>
      <c r="G1754" s="449"/>
      <c r="H1754" s="449"/>
      <c r="I1754" s="1956" t="str">
        <f>'Part IX Scoring Criteria'!I99</f>
        <v>hartcountyga.gov/publictransit.html</v>
      </c>
      <c r="J1754" s="1956"/>
      <c r="K1754" s="1956"/>
      <c r="L1754" s="1956"/>
      <c r="M1754" s="1896">
        <v>2</v>
      </c>
      <c r="N1754" s="1969" t="s">
        <v>1941</v>
      </c>
      <c r="O1754" s="1923">
        <f>'Part IX Scoring Criteria'!O99</f>
        <v>0</v>
      </c>
      <c r="P1754" s="1923"/>
      <c r="Q1754" s="1993" t="str">
        <f>IF(OR($O1754=$M1754,$O1754=0,$O1754=""),"","*CHECK!*")</f>
        <v/>
      </c>
      <c r="R1754" s="1823" t="s">
        <v>4767</v>
      </c>
    </row>
    <row r="1755" spans="1:21" s="1951" customFormat="1" ht="14.25" customHeight="1">
      <c r="A1755" s="1229" t="s">
        <v>1326</v>
      </c>
      <c r="B1755" s="2167" t="s">
        <v>2468</v>
      </c>
      <c r="C1755" s="449" t="s">
        <v>6944</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hartcountyga.gov/publictransit.html</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The Hart County Public Transit System will be providing transport for all residents of The Pointe at St. Martin.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3727</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1936</v>
      </c>
      <c r="O1769" s="1923">
        <f>'Part IX Scoring Criteria'!O114</f>
        <v>3</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4728</v>
      </c>
      <c r="C1771" s="1936"/>
      <c r="D1771" s="1956" t="str">
        <f>'Part IX Scoring Criteria'!D116</f>
        <v>Innovative academic enhancement program with a focus on literacy that encourages higher levels of academic performance and development while ecouraging character and leadership development. This program uses gaming (on-line and group), music, projects, and exercise to promote healthy living, acadmic excellence and cultural enrichment. All Things Are Possible works one-on-one will school-age residents to advocate healthy family relationships, life skills that build healthy and foundational responsibilites towards society building characteristics and values; such as, hard work, honesty, responsibility, identifying life goals, kindness, and society building eithics. All Things Are Possible team members will be on-site twice a week to work with school-age residents on all of their academic needs. All Things Are Possible will maintain monthly calendars of scheduled activities, attendance records, and a quarterly program report.</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t="str">
        <f>'Part IX Scoring Criteria'!E117</f>
        <v>All Things Are Possible After School &amp; Family Resource Center</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3730</v>
      </c>
      <c r="L1774" s="1732" t="str">
        <f>IF(OR($O1774=$M1774,$O1774=0,$O1774=""),"","* * Check Score! * *")</f>
        <v/>
      </c>
      <c r="M1774" s="1732">
        <v>3</v>
      </c>
      <c r="N1774" s="1940" t="s">
        <v>1938</v>
      </c>
      <c r="O1774" s="1923">
        <f>'Part IX Scoring Criteria'!O119</f>
        <v>0</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f>'Part IX Scoring Criteria'!O120</f>
        <v>0</v>
      </c>
      <c r="P1775" s="1229"/>
      <c r="Q1775" s="2125"/>
      <c r="R1775" s="2125"/>
      <c r="S1775" s="2125"/>
      <c r="T1775" s="2125"/>
    </row>
    <row r="1776" spans="1:20" s="1950" customFormat="1" ht="21" customHeight="1">
      <c r="A1776" s="1982"/>
      <c r="B1776" s="2168" t="s">
        <v>1939</v>
      </c>
      <c r="C1776" s="1936" t="s">
        <v>4612</v>
      </c>
      <c r="D1776" s="1956" t="s">
        <v>4307</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f>'Part IX Scoring Criteria'!O122</f>
        <v>0</v>
      </c>
      <c r="P1777" s="1229"/>
      <c r="Q1777" s="2125"/>
      <c r="R1777" s="2125"/>
      <c r="S1777" s="2125"/>
      <c r="T1777" s="2125"/>
    </row>
    <row r="1778" spans="1:21" s="449" customFormat="1" ht="10.5" customHeight="1">
      <c r="A1778" s="1940"/>
      <c r="B1778" s="1969"/>
      <c r="C1778" s="449" t="s">
        <v>4617</v>
      </c>
      <c r="M1778" s="1229"/>
      <c r="N1778" s="1940" t="s">
        <v>2373</v>
      </c>
      <c r="O1778" s="1229">
        <f>'Part IX Scoring Criteria'!O123</f>
        <v>0</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4613</v>
      </c>
      <c r="D1784" s="449" t="s">
        <v>4618</v>
      </c>
      <c r="E1784" s="449"/>
      <c r="F1784" s="449"/>
      <c r="G1784" s="449"/>
      <c r="N1784" s="1942" t="s">
        <v>4809</v>
      </c>
      <c r="O1784" s="1229">
        <f>'Part IX Scoring Criteria'!O129</f>
        <v>0</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2373</v>
      </c>
      <c r="O1785" s="1229">
        <f>'Part IX Scoring Criteria'!O130</f>
        <v>0</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6945</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2376</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6946</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Garden Design and Maintenance</v>
      </c>
      <c r="D1796" s="1956"/>
      <c r="E1796" s="1956"/>
      <c r="F1796" s="1956"/>
      <c r="G1796" s="1956" t="str">
        <f>'Part IX Scoring Criteria'!G141</f>
        <v xml:space="preserve">Set a plan with the residents for growing and maintaining their garden throughout the year. Educate residents on the right time of year for seasonal planting that will provide heathy homegrown food options throughout the summer and fall, as well as information on winterizing the garden area and spring planting prep.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Food Preparation</v>
      </c>
      <c r="D1797" s="1956"/>
      <c r="E1797" s="1956"/>
      <c r="F1797" s="1956"/>
      <c r="G1797" s="1956" t="str">
        <f>'Part IX Scoring Criteria'!G142</f>
        <v xml:space="preserve">Work with residents to share healthy recipes using accessible foods and vegetables grown in the community garden. Invite residents to share with the group their favorite healthy recipes and demonstrate in a cooking class setting.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Access to Healthy Food Options</v>
      </c>
      <c r="D1798" s="1956"/>
      <c r="E1798" s="1956"/>
      <c r="F1798" s="1956"/>
      <c r="G1798" s="1956" t="str">
        <f>'Part IX Scoring Criteria'!G143</f>
        <v xml:space="preserve">Partner with local food banks and cooperatives to assist qualified residents with option for food security. Teach residents how to can vegetables (in conjuction with the Community Garden) for later use and provide a platform for a community canning event.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Pointe at St. Martin will provide its Family tenancy with access to an after school program for its school-age residents. The development will also provide and maintain a community garden that will be accessible to all of its residents. This will be provided along with a monthly healthy eathing program for the residents.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3716</v>
      </c>
      <c r="C1805" s="1939"/>
      <c r="D1805" s="1939"/>
      <c r="E1805" s="1939"/>
      <c r="F1805" s="1939"/>
      <c r="G1805" s="1939"/>
      <c r="H1805" s="1939"/>
      <c r="I1805" s="1939"/>
      <c r="J1805" s="1939"/>
      <c r="K1805" s="1939"/>
      <c r="L1805" s="1939"/>
      <c r="M1805" s="1896">
        <v>5</v>
      </c>
      <c r="N1805" s="1967"/>
      <c r="O1805" s="1923">
        <f>'Part IX Scoring Criteria'!O150</f>
        <v>2</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3731</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4767</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3620</v>
      </c>
      <c r="F1810" s="1947"/>
      <c r="G1810" s="449"/>
      <c r="H1810" s="1947"/>
      <c r="I1810" s="449" t="str">
        <f>'Part IX Scoring Criteria'!I155</f>
        <v>Hart County School District</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4505</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3648</v>
      </c>
      <c r="I1816" s="449"/>
      <c r="J1816" s="449"/>
      <c r="K1816" s="1955" t="s">
        <v>3619</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6830</v>
      </c>
      <c r="C1817" s="1908"/>
      <c r="E1817" s="2164" t="s">
        <v>4787</v>
      </c>
      <c r="F1817" s="1817" t="s">
        <v>4761</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Hartwell Elementary School</v>
      </c>
      <c r="C1818" s="1822"/>
      <c r="D1818" s="1822"/>
      <c r="E1818" s="1983" t="str">
        <f>'Part IX Scoring Criteria'!E163</f>
        <v>Other</v>
      </c>
      <c r="F1818" s="1229" t="str">
        <f>'Part IX Scoring Criteria'!F163</f>
        <v>No</v>
      </c>
      <c r="G1818" s="1983" t="str">
        <f>'Part IX Scoring Criteria'!G163</f>
        <v>PreK-5</v>
      </c>
      <c r="H1818" s="2170">
        <f>'Part IX Scoring Criteria'!H163</f>
        <v>82.5</v>
      </c>
      <c r="I1818" s="2170">
        <f>'Part IX Scoring Criteria'!I163</f>
        <v>73.599999999999994</v>
      </c>
      <c r="J1818" s="2170">
        <f>'Part IX Scoring Criteria'!J163</f>
        <v>72.3</v>
      </c>
      <c r="K1818" s="2170">
        <f t="shared" ref="K1818:K1827" si="399">IF(H1818+I1818+J1818=0,"",AVERAGE(H1818,I1818,J1818))</f>
        <v>76.133333333333326</v>
      </c>
      <c r="L1818" s="2170">
        <f>'Part IX Scoring Criteria'!L163</f>
        <v>75.930000000000007</v>
      </c>
      <c r="M1818" s="1229" t="str">
        <f>IF(OR(K1818="",L1818=""),"",IF(K1818&gt;L1818,"Yes",IF(K1818&lt;L1818,"No","")))</f>
        <v>Yes</v>
      </c>
      <c r="O1818" s="1229" t="str">
        <f>'Part IX Scoring Criteria'!O163</f>
        <v>No</v>
      </c>
      <c r="P1818" s="1229"/>
      <c r="Q1818" s="2252">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8</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Check</v>
      </c>
      <c r="B1819" s="1822" t="str">
        <f>'Part IX Scoring Criteria'!B164</f>
        <v>Hart County Middle School</v>
      </c>
      <c r="C1819" s="1822"/>
      <c r="D1819" s="1822"/>
      <c r="E1819" s="1983" t="str">
        <f>'Part IX Scoring Criteria'!E164</f>
        <v>Other</v>
      </c>
      <c r="F1819" s="1229" t="str">
        <f>'Part IX Scoring Criteria'!F164</f>
        <v>No</v>
      </c>
      <c r="G1819" s="1983" t="str">
        <f>'Part IX Scoring Criteria'!G164</f>
        <v>6-8</v>
      </c>
      <c r="H1819" s="2170">
        <f>'Part IX Scoring Criteria'!H164</f>
        <v>69.099999999999994</v>
      </c>
      <c r="I1819" s="2170">
        <f>'Part IX Scoring Criteria'!I164</f>
        <v>74.2</v>
      </c>
      <c r="J1819" s="2170">
        <f>'Part IX Scoring Criteria'!J164</f>
        <v>72.8</v>
      </c>
      <c r="K1819" s="2170">
        <f t="shared" si="399"/>
        <v>72.033333333333346</v>
      </c>
      <c r="L1819" s="2170">
        <f>'Part IX Scoring Criteria'!L164</f>
        <v>73.77</v>
      </c>
      <c r="M1819" s="1229" t="str">
        <f>IF(L1819="","",IF(K1819&gt;L1819,"Yes",IF(K1819&lt;L1819,"No","")))</f>
        <v>No</v>
      </c>
      <c r="O1819" s="1229" t="str">
        <f>'Part IX Scoring Criteria'!O164</f>
        <v>No</v>
      </c>
      <c r="P1819" s="1229"/>
      <c r="Q1819" s="2252">
        <f t="shared" ref="Q1819:Q1827" si="403">IF(AND(B1819="",F1819="",G1819="",H1819="",I1819="",J1819="",L1819="",O1819=""),0,1)</f>
        <v>1</v>
      </c>
      <c r="R1819" s="1973"/>
      <c r="S1819" s="1732">
        <f t="shared" si="400"/>
        <v>1</v>
      </c>
      <c r="T1819" s="1973"/>
      <c r="U1819" s="1732">
        <f t="shared" si="401"/>
        <v>0</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Hart County High School</v>
      </c>
      <c r="C1820" s="1822"/>
      <c r="D1820" s="1822"/>
      <c r="E1820" s="1983" t="str">
        <f>'Part IX Scoring Criteria'!E165</f>
        <v>Other</v>
      </c>
      <c r="F1820" s="1229" t="str">
        <f>'Part IX Scoring Criteria'!F165</f>
        <v>No</v>
      </c>
      <c r="G1820" s="1983" t="str">
        <f>'Part IX Scoring Criteria'!G165</f>
        <v>9-12</v>
      </c>
      <c r="H1820" s="2170">
        <f>'Part IX Scoring Criteria'!H165</f>
        <v>70.5</v>
      </c>
      <c r="I1820" s="2170">
        <f>'Part IX Scoring Criteria'!I165</f>
        <v>70.400000000000006</v>
      </c>
      <c r="J1820" s="2170">
        <f>'Part IX Scoring Criteria'!J165</f>
        <v>74</v>
      </c>
      <c r="K1820" s="2170">
        <f t="shared" si="399"/>
        <v>71.63333333333334</v>
      </c>
      <c r="L1820" s="2170">
        <f>'Part IX Scoring Criteria'!L165</f>
        <v>76.430000000000007</v>
      </c>
      <c r="M1820" s="1229" t="str">
        <f t="shared" ref="M1820:M1827" si="404">IF(L1820="","",IF(K1820&gt;L1820,"Yes",IF(K1820&lt;L1820,"No","")))</f>
        <v>No</v>
      </c>
      <c r="O1820" s="1229" t="str">
        <f>'Part IX Scoring Criteria'!O165</f>
        <v>No</v>
      </c>
      <c r="P1820" s="1229"/>
      <c r="Q1820" s="2252">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2">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2">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2">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2">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2">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2">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2">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3732</v>
      </c>
      <c r="D1830" s="1962"/>
      <c r="E1830" s="1962"/>
      <c r="F1830" s="1908"/>
      <c r="H1830" s="1908" t="s">
        <v>4566</v>
      </c>
      <c r="M1830" s="1896">
        <v>2</v>
      </c>
      <c r="N1830" s="1960"/>
      <c r="O1830" s="1923">
        <f>'Part IX Scoring Criteria'!O175</f>
        <v>1</v>
      </c>
      <c r="P1830" s="1923">
        <f>'Part IX Scoring Criteria'!P175</f>
        <v>0</v>
      </c>
      <c r="Q1830" s="1896"/>
      <c r="R1830" s="1843"/>
    </row>
    <row r="1831" spans="1:24" s="1945" customFormat="1" ht="12.75" customHeight="1">
      <c r="E1831" s="1945" t="s">
        <v>3822</v>
      </c>
      <c r="F1831" s="1945" t="s">
        <v>3487</v>
      </c>
      <c r="G1831" s="1918" t="s">
        <v>3285</v>
      </c>
      <c r="H1831" s="1918"/>
      <c r="I1831" s="1918"/>
      <c r="J1831" s="1918"/>
      <c r="K1831" s="1918"/>
      <c r="L1831" s="1918"/>
      <c r="M1831" s="1918"/>
      <c r="N1831" s="1918"/>
      <c r="P1831" s="1936"/>
      <c r="R1831" s="449" t="s">
        <v>2735</v>
      </c>
      <c r="S1831" s="449"/>
      <c r="T1831" s="449" t="str">
        <f>'Part I-Project Information'!$F$38</f>
        <v>Hartwell</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3488</v>
      </c>
      <c r="R1832" s="449" t="s">
        <v>2736</v>
      </c>
      <c r="S1832" s="449"/>
      <c r="T1832" s="449" t="str">
        <f>'Part I-Project Information'!$J$39</f>
        <v>Hart</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Hart Co.</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3644</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3000</v>
      </c>
      <c r="J1836" s="1925"/>
      <c r="K1836" s="1918" t="b">
        <f>IF(I1836="","",IF(I1836&lt;E1833,"Minimum Jobs Threshold entered is below lowest in chart!"))</f>
        <v>0</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3960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3821</v>
      </c>
      <c r="H1839" s="1975" t="s">
        <v>1939</v>
      </c>
      <c r="I1839" s="1985" t="str">
        <f>'Part IX Scoring Criteria'!I184</f>
        <v>Yes</v>
      </c>
      <c r="J1839" s="1985" t="str">
        <f>IF(OR(J1836="",J1837=""),"",IF(J1837&gt;=J1836,"Yes","No"))</f>
        <v/>
      </c>
    </row>
    <row r="1840" spans="1:24" s="1945" customFormat="1" ht="11.25" customHeight="1">
      <c r="A1840" s="1945" t="s">
        <v>1326</v>
      </c>
      <c r="B1840" s="1960" t="s">
        <v>1941</v>
      </c>
      <c r="C1840" s="449" t="s">
        <v>3736</v>
      </c>
      <c r="D1840" s="1944"/>
      <c r="E1840" s="1944"/>
      <c r="F1840" s="1944"/>
      <c r="H1840" s="1975" t="s">
        <v>1941</v>
      </c>
      <c r="I1840" s="1817" t="str">
        <f>'Part IX Scoring Criteria'!I185</f>
        <v>No</v>
      </c>
      <c r="J1840" s="1817" t="str">
        <f>IF(OR(J1836="",J1837=""),"",IF(J1837&gt;=HLOOKUP(J1836,$E$178:$P$179,2),"Yes","No"))</f>
        <v/>
      </c>
    </row>
    <row r="1841" spans="1:21" s="1945" customFormat="1" ht="11.25" customHeight="1">
      <c r="B1841" s="1904"/>
      <c r="C1841" s="1944" t="s">
        <v>3660</v>
      </c>
      <c r="D1841" s="1944"/>
      <c r="E1841" s="1944"/>
      <c r="F1841" s="1944"/>
      <c r="G1841" s="1944"/>
      <c r="I1841" s="2138">
        <f>IF(I1837="",0,(I1837/I1836) - 1)</f>
        <v>0.32000000000000006</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 xml:space="preserve">Hartwell Elemenarty is the only scool that is zoned for the proposed development site that scores above the CCRPI state average.  We have included a letter confirming the applicable school districts for the proposed site. The site exceeds the minimum jobs threshold by 32%. Therefore, we are claiming 1 point. </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3737</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4600</v>
      </c>
      <c r="C1851" s="1897"/>
      <c r="D1851" s="1897"/>
      <c r="E1851" s="1897"/>
      <c r="F1851" s="1897"/>
      <c r="G1851" s="1897" t="s">
        <v>6882</v>
      </c>
      <c r="H1851" s="1897"/>
      <c r="I1851" s="1897"/>
      <c r="J1851" s="1897"/>
      <c r="K1851" s="1817" t="s">
        <v>4755</v>
      </c>
      <c r="L1851" s="1817" t="s">
        <v>4755</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4382</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4601</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4598</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4381</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6914</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4311</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4594</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1939</v>
      </c>
      <c r="C1865" s="1936" t="s">
        <v>6883</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6951</v>
      </c>
      <c r="D1866" s="1936"/>
      <c r="E1866" s="1936"/>
      <c r="F1866" s="1936"/>
      <c r="G1866" s="1936"/>
      <c r="H1866" s="1936"/>
      <c r="I1866" s="1936"/>
      <c r="J1866" s="1908" t="s">
        <v>3589</v>
      </c>
      <c r="K1866" s="1815"/>
      <c r="L1866" s="1908" t="str">
        <f>'Part I-Project Information'!$N$39</f>
        <v>No</v>
      </c>
      <c r="M1866" s="1229">
        <v>2</v>
      </c>
      <c r="N1866" s="1969" t="s">
        <v>1941</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3439</v>
      </c>
      <c r="K1867" s="449"/>
      <c r="L1867" s="1977" t="str">
        <f>'Part I-Project Information'!$O$38</f>
        <v>9605</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State Boost</v>
      </c>
      <c r="M1868" s="449"/>
    </row>
    <row r="1869" spans="1:25" ht="12" customHeight="1">
      <c r="A1869" s="1904" t="s">
        <v>1938</v>
      </c>
      <c r="B1869" s="1897" t="s">
        <v>4313</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4767</v>
      </c>
    </row>
    <row r="1870" spans="1:25" s="1951" customFormat="1" ht="9.75" customHeight="1">
      <c r="A1870" s="1904"/>
      <c r="B1870" s="1947"/>
      <c r="C1870" s="449" t="s">
        <v>2703</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3641</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3591</v>
      </c>
      <c r="C1872" s="1908" t="s">
        <v>3642</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3592</v>
      </c>
      <c r="C1873" s="1908" t="s">
        <v>4570</v>
      </c>
      <c r="D1873" s="1815"/>
      <c r="E1873" s="1815"/>
      <c r="F1873" s="1815"/>
      <c r="G1873" s="1815"/>
      <c r="H1873" s="1815"/>
      <c r="I1873" s="1815"/>
      <c r="J1873" s="1229">
        <f>'Part IX Scoring Criteria'!J218</f>
        <v>0</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f>'Part IX Scoring Criteria'!J219</f>
        <v>0</v>
      </c>
      <c r="K1874" s="449"/>
      <c r="L1874" s="449"/>
      <c r="M1874" s="449"/>
      <c r="N1874" s="449"/>
      <c r="O1874" s="2233">
        <f>'Part IX Scoring Criteria'!O219</f>
        <v>0</v>
      </c>
      <c r="P1874" s="1978" t="s">
        <v>3597</v>
      </c>
      <c r="V1874" s="2125"/>
      <c r="W1874" s="2125"/>
    </row>
    <row r="1875" spans="1:23" ht="11.25" customHeight="1">
      <c r="A1875" s="1930"/>
      <c r="B1875" s="1940" t="s">
        <v>3595</v>
      </c>
      <c r="C1875" s="1908" t="s">
        <v>4317</v>
      </c>
      <c r="D1875" s="1815"/>
      <c r="E1875" s="1815"/>
      <c r="F1875" s="1815"/>
      <c r="G1875" s="1815"/>
      <c r="H1875" s="1815"/>
      <c r="I1875" s="1815"/>
      <c r="J1875" s="1229">
        <f>'Part IX Scoring Criteria'!J220</f>
        <v>0</v>
      </c>
      <c r="L1875" s="1940" t="s">
        <v>4316</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4366</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3339</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6812</v>
      </c>
      <c r="D1881" s="1939"/>
      <c r="G1881" s="1979">
        <f>'Part IV-A-Uses of Funds'!$G$132</f>
        <v>11974075</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Applicants are ineligible to claim points in either Scoring Sections VII. Revitalization/Redevelopment Plans or VIII. Community Transformation if claiming points in either Scoring Sections VI. Place-Based Opportunity or IX. Stable Communities.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6952</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4572</v>
      </c>
      <c r="N1892" s="1940" t="s">
        <v>2374</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4758</v>
      </c>
      <c r="K1894" s="1958">
        <f>$O$150</f>
        <v>0</v>
      </c>
      <c r="L1894" s="1958" t="str">
        <f>$P$150</f>
        <v>Indirect</v>
      </c>
      <c r="N1894" s="1940" t="s">
        <v>2376</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6884</v>
      </c>
      <c r="D1897" s="1815"/>
      <c r="G1897" s="1944" t="s">
        <v>3593</v>
      </c>
      <c r="Q1897" s="1843"/>
      <c r="R1897" s="1952"/>
      <c r="S1897" s="1952"/>
      <c r="T1897" s="1952"/>
      <c r="U1897" s="1952"/>
    </row>
    <row r="1898" spans="1:23" s="1815" customFormat="1" ht="11.25" customHeight="1">
      <c r="A1898" s="1940"/>
      <c r="C1898" s="449" t="s">
        <v>3645</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3740</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3742</v>
      </c>
      <c r="D1903" s="1936"/>
      <c r="E1903" s="1936"/>
      <c r="F1903" s="1936"/>
      <c r="G1903" s="1944" t="s">
        <v>3593</v>
      </c>
      <c r="H1903" s="1936"/>
      <c r="I1903" s="1936"/>
      <c r="J1903" s="1936"/>
      <c r="K1903" s="1936"/>
      <c r="L1903" s="1936"/>
      <c r="M1903" s="1936"/>
      <c r="N1903" s="1936"/>
      <c r="O1903" s="1229" t="s">
        <v>2444</v>
      </c>
      <c r="P1903" s="1229" t="s">
        <v>2444</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4383</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3745</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4318</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4319</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6885</v>
      </c>
      <c r="D1912" s="1815"/>
      <c r="G1912" s="1944" t="s">
        <v>3593</v>
      </c>
      <c r="O1912" s="1229" t="s">
        <v>2444</v>
      </c>
      <c r="P1912" s="1229" t="s">
        <v>2444</v>
      </c>
      <c r="Q1912" s="1843"/>
    </row>
    <row r="1913" spans="1:24" ht="22.5" customHeight="1">
      <c r="B1913" s="2172" t="s">
        <v>1939</v>
      </c>
      <c r="C1913" s="449" t="s">
        <v>4574</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4575</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Applicants are ineligible to claim points in either Scoring Sections VII. Revitalization/Redevelopment Plans or VIII. Community Transformation if claiming points in either Scoring Sections VI. Place-Based Opportunity or IX. Stable Communities. The applicant is not seeking points for Community Transformation; therefore, VIII is N/Ap</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4749</v>
      </c>
      <c r="M1920" s="1896">
        <v>5</v>
      </c>
      <c r="N1920" s="1896"/>
      <c r="O1920" s="1916">
        <f>'Part IX Scoring Criteria'!O265</f>
        <v>2</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4320</v>
      </c>
      <c r="D1922" s="449"/>
      <c r="E1922" s="449"/>
      <c r="G1922" s="1944" t="s">
        <v>4730</v>
      </c>
      <c r="I1922" s="1983" t="str">
        <f>'Part I-Project Information'!$O$38</f>
        <v>9605</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Rural</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Yes</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f>'Part IX Scoring Criteria'!I270</f>
        <v>0.2</v>
      </c>
      <c r="J1925" s="1945" t="s">
        <v>2655</v>
      </c>
      <c r="L1925" s="449" t="s">
        <v>2653</v>
      </c>
      <c r="M1925" s="449" t="str">
        <f>IF(O1925&gt;I1925,"CHECK ACTUAL PERCENT!!!","")</f>
        <v/>
      </c>
      <c r="N1925" s="1960" t="s">
        <v>1941</v>
      </c>
      <c r="O1925" s="2236">
        <f>'Part IX Scoring Criteria'!O270</f>
        <v>0.1845</v>
      </c>
      <c r="P1925" s="1985"/>
      <c r="Q1925" s="1973"/>
      <c r="R1925" s="1973"/>
      <c r="S1925" s="1963"/>
      <c r="T1925" s="1963"/>
      <c r="U1925" s="1963"/>
    </row>
    <row r="1926" spans="1:24" ht="11.4" customHeight="1">
      <c r="B1926" s="1992" t="s">
        <v>2468</v>
      </c>
      <c r="C1926" s="1945" t="s">
        <v>2328</v>
      </c>
      <c r="G1926" s="1945" t="s">
        <v>2329</v>
      </c>
      <c r="J1926" s="2177" t="s">
        <v>4470</v>
      </c>
      <c r="L1926" s="1908" t="s">
        <v>2648</v>
      </c>
      <c r="M1926" s="1815"/>
      <c r="N1926" s="1960" t="s">
        <v>2468</v>
      </c>
      <c r="O1926" s="1229" t="str">
        <f>'Part IX Scoring Criteria'!O271</f>
        <v>Middle</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3746</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2"/>
      <c r="O1930" s="1896"/>
      <c r="P1930" s="1896"/>
      <c r="S1930" s="1963"/>
      <c r="T1930" s="1963"/>
      <c r="U1930" s="1963"/>
    </row>
    <row r="1931" spans="1:24" ht="11.4" customHeight="1">
      <c r="A1931" s="2252" t="s">
        <v>1938</v>
      </c>
      <c r="B1931" s="1992" t="s">
        <v>4321</v>
      </c>
      <c r="C1931" s="1945"/>
      <c r="G1931" s="1944" t="s">
        <v>6800</v>
      </c>
      <c r="I1931" s="2160">
        <f>'Part IX Scoring Criteria'!I276</f>
        <v>2020</v>
      </c>
      <c r="K1931" s="1943" t="s">
        <v>4611</v>
      </c>
      <c r="L1931" s="2142">
        <f>'Part IX Scoring Criteria'!L276</f>
        <v>13147960500</v>
      </c>
      <c r="M1931" s="1896">
        <v>2</v>
      </c>
      <c r="N1931" s="1904" t="s">
        <v>1938</v>
      </c>
      <c r="O1931" s="1923">
        <f>'Part IX Scoring Criteria'!O276</f>
        <v>1</v>
      </c>
      <c r="P1931" s="1923"/>
      <c r="Q1931" s="1993" t="str">
        <f>IF(O1931&lt;=M1931,"","*CHECK!*")</f>
        <v/>
      </c>
      <c r="R1931" s="1823" t="s">
        <v>4767</v>
      </c>
      <c r="S1931" s="1963"/>
      <c r="T1931" s="1963"/>
      <c r="U1931" s="1963"/>
    </row>
    <row r="1932" spans="1:24" ht="11.4" customHeight="1">
      <c r="A1932" s="1918"/>
      <c r="B1932" s="1992" t="s">
        <v>1939</v>
      </c>
      <c r="C1932" s="449" t="s">
        <v>4466</v>
      </c>
      <c r="D1932" s="449"/>
      <c r="E1932" s="1987"/>
      <c r="F1932" s="1988"/>
      <c r="G1932" s="449" t="s">
        <v>4322</v>
      </c>
      <c r="H1932" s="449"/>
      <c r="I1932" s="449"/>
      <c r="J1932" s="1815"/>
      <c r="K1932" s="1815"/>
      <c r="L1932" s="1822" t="s">
        <v>6801</v>
      </c>
      <c r="M1932" s="1896"/>
      <c r="N1932" s="1960" t="s">
        <v>1939</v>
      </c>
      <c r="O1932" s="1938" t="str">
        <f>'Part IX Scoring Criteria'!O277</f>
        <v>Yes</v>
      </c>
      <c r="P1932" s="1938"/>
      <c r="Q1932" s="1993"/>
      <c r="R1932" s="1823"/>
      <c r="S1932" s="1963"/>
      <c r="T1932" s="1963"/>
      <c r="U1932" s="1963"/>
    </row>
    <row r="1933" spans="1:24" ht="11.4" customHeight="1">
      <c r="A1933" s="1918"/>
      <c r="B1933" s="1992" t="s">
        <v>1941</v>
      </c>
      <c r="C1933" s="449" t="s">
        <v>4467</v>
      </c>
      <c r="D1933" s="449"/>
      <c r="E1933" s="1987"/>
      <c r="F1933" s="1229"/>
      <c r="G1933" s="449" t="s">
        <v>4323</v>
      </c>
      <c r="H1933" s="449"/>
      <c r="I1933" s="449"/>
      <c r="J1933" s="1815"/>
      <c r="K1933" s="1815"/>
      <c r="L1933" s="1822" t="s">
        <v>6801</v>
      </c>
      <c r="M1933" s="1874"/>
      <c r="N1933" s="1960" t="s">
        <v>1941</v>
      </c>
      <c r="O1933" s="1229" t="str">
        <f>'Part IX Scoring Criteria'!O278</f>
        <v>No</v>
      </c>
      <c r="P1933" s="1229"/>
      <c r="Q1933" s="1993"/>
      <c r="R1933" s="1823"/>
      <c r="S1933" s="1963"/>
      <c r="T1933" s="1963"/>
      <c r="U1933" s="1963"/>
    </row>
    <row r="1934" spans="1:24" ht="2.25" customHeight="1">
      <c r="A1934" s="1918"/>
      <c r="B1934" s="1992"/>
      <c r="C1934" s="1945"/>
      <c r="M1934" s="1896"/>
      <c r="N1934" s="2252"/>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Documenation supporting the Low-Poverty Communities has been included in the application. This site is eligible for 1 point in the Enterprise Community Partners Opportunity 360 section of IX. Stable Communities. </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2"/>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3606</v>
      </c>
      <c r="H1941" s="1229" t="s">
        <v>3453</v>
      </c>
      <c r="I1941" s="1985">
        <f>IF('Part VI-Revenues &amp; Expenses'!$P$67=0,0,'Part VI-Revenues &amp; Expenses'!$P$64/'Part VI-Revenues &amp; Expenses'!$P$67)</f>
        <v>0</v>
      </c>
      <c r="J1941" s="1943" t="s">
        <v>4605</v>
      </c>
      <c r="K1941" s="2136" t="str">
        <f>'Part I-Project Information'!$K$94</f>
        <v>Income Averaging</v>
      </c>
      <c r="L1941" s="2136"/>
      <c r="M1941" s="1896">
        <v>1</v>
      </c>
      <c r="N1941" s="2252"/>
      <c r="O1941" s="1923">
        <f>'Part IX Scoring Criteria'!O286</f>
        <v>1</v>
      </c>
      <c r="P1941" s="1923">
        <f>'Part IX Scoring Criteria'!P286</f>
        <v>0</v>
      </c>
      <c r="Q1941" s="1896" t="s">
        <v>433</v>
      </c>
    </row>
    <row r="1942" spans="1:22" ht="13.8">
      <c r="A1942" s="1732" t="s">
        <v>1936</v>
      </c>
      <c r="B1942" s="1945" t="s">
        <v>4603</v>
      </c>
      <c r="C1942" s="1945"/>
      <c r="D1942" s="1945" t="s">
        <v>4604</v>
      </c>
      <c r="M1942" s="1896">
        <v>1</v>
      </c>
      <c r="N1942" s="1940" t="s">
        <v>1936</v>
      </c>
      <c r="O1942" s="1923">
        <f>'Part IX Scoring Criteria'!O287</f>
        <v>0</v>
      </c>
      <c r="P1942" s="1923"/>
      <c r="Q1942" s="1993" t="str">
        <f>IF(OR($O1942=$M1942,$O1942=0,$O1942=""),"","*CHECK!*")</f>
        <v/>
      </c>
      <c r="R1942" s="1823" t="s">
        <v>4767</v>
      </c>
    </row>
    <row r="1943" spans="1:22" ht="13.8">
      <c r="A1943" s="1732" t="s">
        <v>1938</v>
      </c>
      <c r="B1943" s="1945" t="s">
        <v>4294</v>
      </c>
      <c r="C1943" s="1945"/>
      <c r="D1943" s="1945" t="s">
        <v>4723</v>
      </c>
      <c r="M1943" s="1874">
        <v>1</v>
      </c>
      <c r="N1943" s="1940" t="s">
        <v>1938</v>
      </c>
      <c r="O1943" s="1923">
        <f>'Part IX Scoring Criteria'!O288</f>
        <v>1</v>
      </c>
      <c r="P1943" s="1923"/>
      <c r="Q1943" s="1993" t="str">
        <f>IF(OR($O1943=$M1943,$O1943=0,$O1943=""),"","*CHECK!*")</f>
        <v/>
      </c>
      <c r="R1943" s="1823" t="s">
        <v>4767</v>
      </c>
    </row>
    <row r="1944" spans="1:22" ht="2.25" customHeight="1">
      <c r="A1944" s="1918"/>
      <c r="B1944" s="1992"/>
      <c r="C1944" s="1945"/>
      <c r="M1944" s="1896"/>
      <c r="N1944" s="2252"/>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1936</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3600</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The proposed site does not have either of the Community Designations listed above; therefore, XI is N/Ap</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2703</v>
      </c>
      <c r="K1956" s="1897"/>
      <c r="L1956" s="449" t="str">
        <f>'Part I-Project Information'!$H$105</f>
        <v>Rural</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6886</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3643</v>
      </c>
      <c r="I1960" s="1940" t="s">
        <v>4327</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4623</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4328</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The development is not a phased development; therefore, XIII.A. is N/Ap.</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3281</v>
      </c>
      <c r="H1971" s="1908" t="s">
        <v>4624</v>
      </c>
      <c r="I1971" s="1815"/>
      <c r="J1971" s="449">
        <f>'Part I-Project Information'!F1692</f>
        <v>0</v>
      </c>
      <c r="M1971" s="1896">
        <v>5</v>
      </c>
      <c r="N1971" s="1896"/>
      <c r="O1971" s="1923">
        <f>'Part IX Scoring Criteria'!O316</f>
        <v>4</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1936</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1936</v>
      </c>
      <c r="O1973" s="2166">
        <f>'Part IX Scoring Criteria'!O318</f>
        <v>4</v>
      </c>
      <c r="P1973" s="2166">
        <f>'Part IX Scoring Criteria'!P318</f>
        <v>0</v>
      </c>
      <c r="R1973" s="2179"/>
      <c r="S1973" s="2179"/>
      <c r="T1973" s="2179"/>
      <c r="U1973" s="2179"/>
      <c r="V1973" s="2179"/>
    </row>
    <row r="1974" spans="1:24" s="1815" customFormat="1" ht="11.25" customHeight="1">
      <c r="B1974" s="1992" t="s">
        <v>1939</v>
      </c>
      <c r="C1974" s="449" t="s">
        <v>6888</v>
      </c>
      <c r="L1974" s="1732" t="str">
        <f>IF(OR($O1974=$M1974,$O1974=0,$O1974=""),"","* * Check Score! * *")</f>
        <v/>
      </c>
      <c r="M1974" s="1896">
        <v>5</v>
      </c>
      <c r="N1974" s="1969" t="s">
        <v>1939</v>
      </c>
      <c r="O1974" s="1923">
        <f>'Part IX Scoring Criteria'!O319</f>
        <v>0</v>
      </c>
      <c r="P1974" s="1923"/>
      <c r="Q1974" s="1993" t="str">
        <f>IF(OR($O1974=$M1974,$O1974=0,$O1974=""),"","*CHECK!*")</f>
        <v/>
      </c>
      <c r="R1974" s="1823" t="s">
        <v>4767</v>
      </c>
    </row>
    <row r="1975" spans="1:24" ht="11.25" customHeight="1">
      <c r="A1975" s="1229"/>
      <c r="B1975" s="2172" t="s">
        <v>1941</v>
      </c>
      <c r="C1975" s="1945" t="s">
        <v>6889</v>
      </c>
      <c r="D1975" s="1815"/>
      <c r="E1975" s="1815"/>
      <c r="F1975" s="1815"/>
      <c r="G1975" s="1908"/>
      <c r="H1975" s="1908"/>
      <c r="I1975" s="1908"/>
      <c r="L1975" s="1732" t="str">
        <f>IF(OR($O1975=$M1975,$O1975=0,$O1975=""),"","* * Check Score! * *")</f>
        <v/>
      </c>
      <c r="M1975" s="1874">
        <v>4</v>
      </c>
      <c r="N1975" s="1969" t="s">
        <v>1941</v>
      </c>
      <c r="O1975" s="1923">
        <f>'Part IX Scoring Criteria'!O320</f>
        <v>4</v>
      </c>
      <c r="P1975" s="1923"/>
      <c r="Q1975" s="1993" t="str">
        <f>IF(OR($O1975=$M1975,$O1975=0,$O1975=""),"","*CHECK!*")</f>
        <v/>
      </c>
      <c r="R1975" s="1823" t="s">
        <v>4767</v>
      </c>
    </row>
    <row r="1976" spans="1:24" s="1815" customFormat="1" ht="11.25" customHeight="1">
      <c r="A1976" s="1732" t="s">
        <v>1938</v>
      </c>
      <c r="B1976" s="1897" t="s">
        <v>6890</v>
      </c>
      <c r="F1976" s="1843" t="s">
        <v>4625</v>
      </c>
      <c r="H1976" s="449" t="s">
        <v>2703</v>
      </c>
      <c r="I1976" s="1951"/>
      <c r="J1976" s="449" t="str">
        <f>'Part I-Project Information'!$H$105</f>
        <v>Rural</v>
      </c>
    </row>
    <row r="1977" spans="1:24" s="1815" customFormat="1" ht="11.25" customHeight="1">
      <c r="A1977" s="1732"/>
      <c r="B1977" s="1897" t="s">
        <v>6955</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6891</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4767</v>
      </c>
    </row>
    <row r="1979" spans="1:24" ht="11.25" customHeight="1">
      <c r="A1979" s="1229"/>
      <c r="B1979" s="2172" t="s">
        <v>1941</v>
      </c>
      <c r="C1979" s="1945" t="s">
        <v>6892</v>
      </c>
      <c r="D1979" s="1815"/>
      <c r="E1979" s="1815"/>
      <c r="F1979" s="1815"/>
      <c r="G1979" s="1908"/>
      <c r="H1979" s="1908"/>
      <c r="I1979" s="1908"/>
      <c r="J1979" s="1955" t="s">
        <v>4630</v>
      </c>
      <c r="K1979" s="1815"/>
      <c r="L1979" s="1815"/>
      <c r="M1979" s="1874">
        <v>2</v>
      </c>
      <c r="N1979" s="1969" t="s">
        <v>1941</v>
      </c>
      <c r="O1979" s="1923">
        <f>'Part IX Scoring Criteria'!O324</f>
        <v>0</v>
      </c>
      <c r="P1979" s="1923"/>
      <c r="Q1979" s="1993" t="str">
        <f>IF(OR($O1979=$M1979,$O1979=0,$O1979=""),"","*CHECK!*")</f>
        <v/>
      </c>
      <c r="R1979" s="1823" t="s">
        <v>4767</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6893</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4767</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 xml:space="preserve">The applicant has claimed 4 points above. If funded, this development would be only the second LIHTC development to be funded in the City of Hartwell political jurisdiction. In the 2007 funding round, Juniper Court (2007-043) was funded in the County of Hart. It was confirmed by the core application that this development was outside of the Hartwell city limits and solely in the boundaries of the county. The development has since been annexed into the city. The only other develolment that has been funded that is in the city limits of Hartwell is Chandler Trace (2017-069). Therefore, we are claiming 4 points in XIII. PREVIOUS POINTS since the City of Hartwell has only received one (1) 9% credit award in the last 15 DCA Housing Credit Competitive Rounds. </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4329</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4330</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4331</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4578</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4332</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4449</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3749</v>
      </c>
      <c r="C2002" s="1945"/>
      <c r="D2002" s="1945"/>
      <c r="E2002" s="449"/>
      <c r="G2002" s="1912">
        <f>'Part VIII-Threshold Criteria'!I2005</f>
        <v>0</v>
      </c>
      <c r="L2002" s="1940" t="s">
        <v>4816</v>
      </c>
      <c r="M2002" s="1229">
        <f>'Part I-Project Information'!H1753</f>
        <v>0</v>
      </c>
      <c r="N2002" s="1940" t="s">
        <v>1936</v>
      </c>
      <c r="O2002" s="1732" t="str">
        <f>'Part I-Project Information'!$H$100</f>
        <v>Yes</v>
      </c>
      <c r="P2002" s="1896"/>
      <c r="Q2002" s="1896"/>
      <c r="R2002" s="1843" t="s">
        <v>2626</v>
      </c>
    </row>
    <row r="2003" spans="1:18" s="1947" customFormat="1" ht="10.5" customHeight="1">
      <c r="A2003" s="1904"/>
      <c r="B2003" s="1969" t="s">
        <v>1939</v>
      </c>
      <c r="C2003" s="449" t="s">
        <v>4384</v>
      </c>
      <c r="D2003" s="1815"/>
      <c r="N2003" s="1969" t="s">
        <v>4385</v>
      </c>
      <c r="O2003" s="1229">
        <f>'Part IX Scoring Criteria'!O348</f>
        <v>0</v>
      </c>
      <c r="P2003" s="1229"/>
      <c r="R2003" s="1732"/>
    </row>
    <row r="2004" spans="1:18" s="1947" customFormat="1" ht="10.5" customHeight="1">
      <c r="A2004" s="1904"/>
      <c r="B2004" s="1969"/>
      <c r="C2004" s="449" t="s">
        <v>4741</v>
      </c>
      <c r="D2004" s="1815"/>
      <c r="N2004" s="1969" t="s">
        <v>4386</v>
      </c>
      <c r="O2004" s="1229">
        <f>'Part IX Scoring Criteria'!O349</f>
        <v>0</v>
      </c>
      <c r="P2004" s="1229"/>
      <c r="R2004" s="1732"/>
    </row>
    <row r="2005" spans="1:18" s="1947" customFormat="1" ht="10.5" customHeight="1">
      <c r="A2005" s="1904"/>
      <c r="B2005" s="1969" t="s">
        <v>1941</v>
      </c>
      <c r="C2005" s="449" t="s">
        <v>3757</v>
      </c>
      <c r="D2005" s="1815"/>
      <c r="N2005" s="1969" t="s">
        <v>1941</v>
      </c>
      <c r="O2005" s="1229">
        <f>'Part IX Scoring Criteria'!O350</f>
        <v>0</v>
      </c>
      <c r="P2005" s="1229"/>
      <c r="R2005" s="1732"/>
    </row>
    <row r="2006" spans="1:18" s="1947" customFormat="1" ht="10.5" customHeight="1">
      <c r="A2006" s="1904"/>
      <c r="B2006" s="1969" t="s">
        <v>2468</v>
      </c>
      <c r="C2006" s="449" t="s">
        <v>4387</v>
      </c>
      <c r="D2006" s="1815"/>
      <c r="N2006" s="1969" t="s">
        <v>2468</v>
      </c>
      <c r="O2006" s="1229">
        <f>'Part IX Scoring Criteria'!O351</f>
        <v>0</v>
      </c>
      <c r="P2006" s="1229"/>
      <c r="R2006" s="1732"/>
    </row>
    <row r="2007" spans="1:18" s="1947" customFormat="1" ht="10.5" customHeight="1">
      <c r="B2007" s="1969" t="s">
        <v>1198</v>
      </c>
      <c r="C2007" s="449" t="s">
        <v>4333</v>
      </c>
      <c r="D2007" s="1815"/>
      <c r="N2007" s="1969" t="s">
        <v>1198</v>
      </c>
      <c r="O2007" s="1229">
        <f>'Part IX Scoring Criteria'!O352</f>
        <v>0</v>
      </c>
      <c r="P2007" s="1229"/>
      <c r="R2007" s="1732"/>
    </row>
    <row r="2008" spans="1:18" s="1947" customFormat="1" ht="10.5" customHeight="1">
      <c r="A2008" s="1904"/>
      <c r="B2008" s="1969" t="s">
        <v>1199</v>
      </c>
      <c r="C2008" s="449" t="s">
        <v>4334</v>
      </c>
      <c r="D2008" s="1815"/>
      <c r="N2008" s="1969" t="s">
        <v>1199</v>
      </c>
      <c r="O2008" s="1229">
        <f>'Part IX Scoring Criteria'!O353</f>
        <v>0</v>
      </c>
      <c r="P2008" s="1229"/>
      <c r="R2008" s="1732"/>
    </row>
    <row r="2009" spans="1:18" s="1947" customFormat="1" ht="10.5" customHeight="1">
      <c r="A2009" s="1904"/>
      <c r="B2009" s="1969" t="s">
        <v>1834</v>
      </c>
      <c r="C2009" s="449" t="s">
        <v>3758</v>
      </c>
      <c r="D2009" s="1815"/>
      <c r="N2009" s="1969" t="s">
        <v>1834</v>
      </c>
      <c r="O2009" s="1229">
        <f>'Part IX Scoring Criteria'!O354</f>
        <v>0</v>
      </c>
      <c r="P2009" s="1229"/>
      <c r="R2009" s="1732"/>
    </row>
    <row r="2010" spans="1:18" s="1951" customFormat="1" ht="12" customHeight="1">
      <c r="A2010" s="1904" t="s">
        <v>1938</v>
      </c>
      <c r="B2010" s="1897" t="s">
        <v>3750</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4384</v>
      </c>
      <c r="D2011" s="449"/>
      <c r="E2011" s="449"/>
      <c r="M2011" s="1896"/>
      <c r="N2011" s="1969" t="s">
        <v>4385</v>
      </c>
      <c r="O2011" s="1229">
        <f>'Part IX Scoring Criteria'!O356</f>
        <v>0</v>
      </c>
      <c r="P2011" s="1229"/>
      <c r="Q2011" s="1896"/>
    </row>
    <row r="2012" spans="1:18" s="1947" customFormat="1" ht="10.5" customHeight="1">
      <c r="A2012" s="1904"/>
      <c r="B2012" s="1969"/>
      <c r="C2012" s="449" t="s">
        <v>4769</v>
      </c>
      <c r="D2012" s="1815"/>
      <c r="N2012" s="1969" t="s">
        <v>4386</v>
      </c>
      <c r="O2012" s="1229">
        <f>'Part IX Scoring Criteria'!O357</f>
        <v>0</v>
      </c>
      <c r="P2012" s="1229"/>
      <c r="R2012" s="1732"/>
    </row>
    <row r="2013" spans="1:18" s="1947" customFormat="1" ht="10.5" customHeight="1">
      <c r="A2013" s="1904"/>
      <c r="B2013" s="1969" t="s">
        <v>1941</v>
      </c>
      <c r="C2013" s="449" t="s">
        <v>3769</v>
      </c>
      <c r="D2013" s="1815"/>
      <c r="N2013" s="1969" t="s">
        <v>1941</v>
      </c>
      <c r="O2013" s="1229">
        <f>'Part IX Scoring Criteria'!O358</f>
        <v>0</v>
      </c>
      <c r="P2013" s="1229"/>
      <c r="R2013" s="1732"/>
    </row>
    <row r="2014" spans="1:18" s="1947" customFormat="1" ht="10.5" customHeight="1">
      <c r="B2014" s="1969" t="s">
        <v>2468</v>
      </c>
      <c r="C2014" s="449" t="s">
        <v>3758</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4767</v>
      </c>
      <c r="S2019" s="1844"/>
    </row>
    <row r="2020" spans="1:19" s="1951" customFormat="1" ht="11.25" customHeight="1">
      <c r="A2020" s="1904"/>
      <c r="B2020" s="1908" t="s">
        <v>3454</v>
      </c>
      <c r="D2020" s="1945"/>
      <c r="E2020" s="1945"/>
      <c r="G2020" s="449"/>
      <c r="I2020" s="449" t="str">
        <f>'Part IX Scoring Criteria'!I365</f>
        <v>Hartwell GICH Team</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6802</v>
      </c>
      <c r="D2021" s="1945"/>
      <c r="E2021" s="1945" t="s">
        <v>4347</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6959</v>
      </c>
      <c r="D2023" s="1947"/>
      <c r="E2023" s="1945"/>
      <c r="F2023" s="449"/>
      <c r="G2023" s="449"/>
      <c r="N2023" s="1940"/>
      <c r="O2023" s="1817" t="s">
        <v>2444</v>
      </c>
      <c r="P2023" s="1817" t="s">
        <v>2444</v>
      </c>
    </row>
    <row r="2024" spans="1:19" s="449" customFormat="1" ht="10.5" customHeight="1">
      <c r="B2024" s="1940" t="s">
        <v>2372</v>
      </c>
      <c r="C2024" s="1908" t="s">
        <v>3751</v>
      </c>
      <c r="N2024" s="1940" t="s">
        <v>2372</v>
      </c>
      <c r="O2024" s="1229" t="str">
        <f>'Part IX Scoring Criteria'!O369</f>
        <v>Yes</v>
      </c>
      <c r="P2024" s="1229"/>
    </row>
    <row r="2025" spans="1:19" s="449" customFormat="1" ht="10.5" customHeight="1">
      <c r="B2025" s="1942" t="s">
        <v>2373</v>
      </c>
      <c r="C2025" s="1908" t="s">
        <v>3752</v>
      </c>
      <c r="N2025" s="1942" t="s">
        <v>2373</v>
      </c>
      <c r="O2025" s="1229" t="str">
        <f>'Part IX Scoring Criteria'!O370</f>
        <v>Yes</v>
      </c>
      <c r="P2025" s="1229"/>
    </row>
    <row r="2026" spans="1:19" s="449" customFormat="1" ht="10.5" customHeight="1">
      <c r="B2026" s="1940" t="s">
        <v>2374</v>
      </c>
      <c r="C2026" s="1908" t="s">
        <v>4580</v>
      </c>
      <c r="N2026" s="1940" t="s">
        <v>2374</v>
      </c>
      <c r="O2026" s="1229" t="str">
        <f>'Part IX Scoring Criteria'!O371</f>
        <v>Yes</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We have received a letter of support from the primary contact from the Hartwell GICH Team for The Pointe at St. Martin. We have also received the letter of support from the Mayor of Hartwell in support of the development. </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3615</v>
      </c>
      <c r="L2037" s="1936"/>
      <c r="M2037" s="1936"/>
      <c r="N2037" s="1940" t="s">
        <v>2373</v>
      </c>
      <c r="O2037" s="1229" t="str">
        <f>'Part IX Scoring Criteria'!O382</f>
        <v>Yes</v>
      </c>
      <c r="P2037" s="1229"/>
      <c r="R2037" s="1936"/>
      <c r="S2037" s="1936"/>
    </row>
    <row r="2038" spans="1:20" s="1945" customFormat="1" ht="12.75" customHeight="1">
      <c r="B2038" s="1940" t="s">
        <v>2374</v>
      </c>
      <c r="C2038" s="449" t="s">
        <v>3614</v>
      </c>
      <c r="L2038" s="1936"/>
      <c r="M2038" s="1936"/>
      <c r="N2038" s="1940" t="s">
        <v>2374</v>
      </c>
      <c r="O2038" s="1229" t="str">
        <f>'Part IX Scoring Criteria'!O383</f>
        <v>Yes</v>
      </c>
      <c r="P2038" s="1229"/>
      <c r="R2038" s="1936"/>
      <c r="S2038" s="1936"/>
    </row>
    <row r="2039" spans="1:20" s="1945" customFormat="1" ht="33.75" customHeight="1">
      <c r="B2039" s="1942" t="s">
        <v>2375</v>
      </c>
      <c r="C2039" s="1936" t="s">
        <v>4335</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3755</v>
      </c>
      <c r="L2041" s="1732" t="str">
        <f>IF(O2041&lt;=M2041,"","* * Check Score! * *")</f>
        <v/>
      </c>
      <c r="M2041" s="1732">
        <v>3</v>
      </c>
      <c r="N2041" s="1940" t="s">
        <v>1936</v>
      </c>
      <c r="O2041" s="1923">
        <f>'Part IX Scoring Criteria'!O386</f>
        <v>2</v>
      </c>
      <c r="P2041" s="1923"/>
      <c r="Q2041" s="1993" t="str">
        <f>IF(O2041&lt;=M2041,"","*CHECK!*")</f>
        <v/>
      </c>
      <c r="R2041" s="1819" t="s">
        <v>4767</v>
      </c>
      <c r="S2041" s="1819"/>
      <c r="T2041" s="1844"/>
    </row>
    <row r="2042" spans="1:20" ht="12.75" customHeight="1">
      <c r="A2042" s="2180"/>
      <c r="B2042" s="2172" t="s">
        <v>1939</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3457</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4581</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3345</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3456</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6813</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4340</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3458</v>
      </c>
      <c r="C2053" s="449" t="s">
        <v>4341</v>
      </c>
      <c r="I2053" s="1940" t="s">
        <v>3458</v>
      </c>
      <c r="J2053" s="1917">
        <f>'Part IX Scoring Criteria'!J398</f>
        <v>600000</v>
      </c>
      <c r="K2053" s="1917">
        <f>'Part IX Scoring Criteria'!K398</f>
        <v>0</v>
      </c>
      <c r="L2053" s="1940" t="s">
        <v>3458</v>
      </c>
      <c r="M2053" s="1917"/>
      <c r="N2053" s="1917"/>
      <c r="O2053" s="1917"/>
      <c r="P2053" s="1917"/>
      <c r="R2053" s="1732"/>
    </row>
    <row r="2054" spans="1:23" ht="12.75" customHeight="1">
      <c r="B2054" s="1990" t="s">
        <v>6895</v>
      </c>
      <c r="H2054" s="1908" t="s">
        <v>2559</v>
      </c>
      <c r="J2054" s="1917">
        <f>SUM(J2044:K2053)</f>
        <v>600000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6916</v>
      </c>
      <c r="D2057" s="1822"/>
      <c r="E2057" s="1822"/>
      <c r="F2057" s="1908" t="s">
        <v>4373</v>
      </c>
      <c r="H2057" s="1995"/>
      <c r="I2057" s="1926">
        <f>'Part IX Scoring Criteria'!I402</f>
        <v>11974075</v>
      </c>
      <c r="J2057" s="1917">
        <f>'Part IV-A-Uses of Funds'!$G$132</f>
        <v>11974075</v>
      </c>
      <c r="K2057" s="1917"/>
      <c r="L2057" s="1822"/>
      <c r="M2057" s="1819"/>
      <c r="N2057" s="1819"/>
      <c r="O2057" s="2181"/>
      <c r="P2057" s="1819"/>
    </row>
    <row r="2058" spans="1:23" ht="12.75" customHeight="1">
      <c r="C2058" s="1822"/>
      <c r="D2058" s="1822"/>
      <c r="E2058" s="1822"/>
      <c r="F2058" s="1944" t="s">
        <v>4372</v>
      </c>
      <c r="I2058" s="2239">
        <f>'Part IX Scoring Criteria'!I403</f>
        <v>0.05</v>
      </c>
      <c r="J2058" s="1991">
        <f>IF($J2057=0,0,$J2054/$J2057)</f>
        <v>5.0108254708610057E-2</v>
      </c>
      <c r="K2058" s="1991"/>
      <c r="M2058" s="1991">
        <f>IF($J2057=0,0,$M2054/$J2057)</f>
        <v>0</v>
      </c>
      <c r="N2058" s="1991"/>
      <c r="O2058" s="1991"/>
      <c r="P2058" s="1991"/>
    </row>
    <row r="2059" spans="1:23" s="1951" customFormat="1" ht="12.75" customHeight="1">
      <c r="C2059" s="1822"/>
      <c r="D2059" s="1822"/>
      <c r="E2059" s="1822"/>
      <c r="F2059" s="1945" t="s">
        <v>4371</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3459</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2372</v>
      </c>
      <c r="C2062" s="1936" t="s">
        <v>3756</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3607</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4343</v>
      </c>
      <c r="N2064" s="1940" t="s">
        <v>2374</v>
      </c>
      <c r="O2064" s="1229" t="str">
        <f>'Part IX Scoring Criteria'!O409</f>
        <v>N/a</v>
      </c>
      <c r="P2064" s="1229"/>
    </row>
    <row r="2065" spans="1:19" ht="12" customHeight="1">
      <c r="B2065" s="449" t="s">
        <v>3567</v>
      </c>
      <c r="N2065" s="1874"/>
      <c r="O2065" s="1874"/>
      <c r="P2065" s="1874"/>
    </row>
    <row r="2066" spans="1:19" s="1951" customFormat="1" ht="21.75" customHeight="1">
      <c r="A2066" s="1936" t="str">
        <f>'Part IX Scoring Criteria'!A411</f>
        <v xml:space="preserve">This development has received a binding and unconditional commitment for a 10-year fully amortizing loan that will be at or below long term monthly AFR. The loan currently utilizes an interest rate of 1.15%  (AFR as of May 2020). The loan will be in during both construction and permanent phases. The commitment included within the application is from United Bank which is a commecial bank. Per the DCA Q&amp;A dated 2-27-20, "a commercial bank is an elegible lender/grantor under scoring item #10 so long as all requirements listed under Section XVI. Favorable Financing are met."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3346</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4582</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60</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4583</v>
      </c>
      <c r="C2081" s="1936"/>
      <c r="H2081" s="1936"/>
      <c r="M2081" s="1967">
        <v>2</v>
      </c>
      <c r="N2081" s="1942" t="s">
        <v>1938</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60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 xml:space="preserve">Section XVIII. Historic Preservation is not applicable. </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3"/>
      <c r="G2099" s="2253"/>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53"/>
      <c r="G2100" s="2253"/>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3"/>
      <c r="I2102" s="2253"/>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Pointe at St. Martin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Flats at Aberdeen’s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Enriched Property Services C. Healthy Eating Initiative
Vantage Management will work with the on-site property manager to provide the monthly Healthy Eating Initiative Classes that will include making healthy food choices, healthy recipes, obtaining healthy foods, general fitness and nutrition, etc. Vantage Management and the on-site property manager will be solely responsible for the instruction, supervision, and guidance of the residents who will be participating in the Healthy Eating Initiative Program.  This program will be of no cost to the resident</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VM1TAyeDAv9cC2dquC9MOAomYqf4pueQZwv0tJ0qRU3U9quVbpFEuDLQTqXa6a5bbQ5nn6KDuqKicpSPI2bCfQ==" saltValue="OKboVWrO3DU0n1XPe4wsV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86" t="str">
        <f>CONCATENATE("PART TWO - DEVELOPMENT TEAM INFORMATION","  -  ",'Part I-Project Information'!$O$6," ",'Part I-Project Information'!$F$34,", ",'Part I-Project Information'!F38,", ",'Part I-Project Information'!J39," County")</f>
        <v>PART TWO - DEVELOPMENT TEAM INFORMATION  -  2020-091 The Pointe at St. Martin, Hartwell, Hart County</v>
      </c>
      <c r="B1" s="2887"/>
      <c r="C1" s="2887"/>
      <c r="D1" s="2887"/>
      <c r="E1" s="2887"/>
      <c r="F1" s="2887"/>
      <c r="G1" s="2887"/>
      <c r="H1" s="2887"/>
      <c r="I1" s="2887"/>
      <c r="J1" s="2887"/>
      <c r="K1" s="2887"/>
      <c r="L1" s="2887"/>
      <c r="M1" s="2887"/>
      <c r="N1" s="2887"/>
      <c r="O1" s="2887"/>
      <c r="P1" s="2887"/>
      <c r="Q1" s="2887"/>
      <c r="R1" s="2887"/>
      <c r="S1" s="2888"/>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3894</v>
      </c>
      <c r="O3" s="2889" t="str">
        <f>'Part I-Project Information'!$B$6</f>
        <v>May 26, 2020 Version</v>
      </c>
      <c r="P3" s="2890"/>
      <c r="Q3" s="2890"/>
      <c r="R3" s="2890"/>
      <c r="S3" s="2891"/>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2696" t="s">
        <v>6995</v>
      </c>
      <c r="I5" s="2879"/>
      <c r="J5" s="2879"/>
      <c r="K5" s="2879"/>
      <c r="L5" s="2879"/>
      <c r="M5" s="2879"/>
      <c r="N5" s="2880"/>
      <c r="O5" s="2445" t="s">
        <v>1942</v>
      </c>
      <c r="P5" s="2445"/>
      <c r="Q5" s="2696" t="s">
        <v>7140</v>
      </c>
      <c r="R5" s="2879"/>
      <c r="S5" s="2880"/>
      <c r="Y5" s="1016"/>
      <c r="Z5" s="1017"/>
      <c r="AA5" s="2357"/>
    </row>
    <row r="6" spans="1:27" s="293" customFormat="1" ht="11.25" customHeight="1">
      <c r="D6" s="331"/>
      <c r="E6" s="2349" t="s">
        <v>999</v>
      </c>
      <c r="F6" s="305"/>
      <c r="H6" s="2698" t="s">
        <v>7143</v>
      </c>
      <c r="I6" s="2883"/>
      <c r="J6" s="2883"/>
      <c r="K6" s="2884"/>
      <c r="L6" s="2883"/>
      <c r="M6" s="2883"/>
      <c r="N6" s="2885"/>
      <c r="O6" s="2445" t="s">
        <v>1704</v>
      </c>
      <c r="P6" s="168"/>
      <c r="Q6" s="2696" t="s">
        <v>6997</v>
      </c>
      <c r="R6" s="2879"/>
      <c r="S6" s="2880"/>
      <c r="V6" s="1016"/>
      <c r="W6" s="1016"/>
      <c r="X6" s="1016"/>
      <c r="Y6" s="1016"/>
      <c r="Z6" s="1017"/>
      <c r="AA6" s="2357"/>
    </row>
    <row r="7" spans="1:27" s="293" customFormat="1" ht="11.25" customHeight="1">
      <c r="D7" s="331"/>
      <c r="E7" s="2349" t="s">
        <v>600</v>
      </c>
      <c r="H7" s="2698" t="s">
        <v>7144</v>
      </c>
      <c r="I7" s="2884"/>
      <c r="J7" s="2792"/>
      <c r="K7" s="2446" t="s">
        <v>744</v>
      </c>
      <c r="L7" s="2714" t="s">
        <v>6998</v>
      </c>
      <c r="M7" s="2883"/>
      <c r="N7" s="2885"/>
      <c r="O7" s="2445" t="s">
        <v>1679</v>
      </c>
      <c r="P7" s="168"/>
      <c r="Q7" s="2875">
        <v>2057229331</v>
      </c>
      <c r="R7" s="2876"/>
      <c r="S7" s="2877"/>
    </row>
    <row r="8" spans="1:27" s="293" customFormat="1" ht="11.25" customHeight="1">
      <c r="D8" s="331"/>
      <c r="E8" s="2349" t="s">
        <v>1754</v>
      </c>
      <c r="H8" s="2420" t="s">
        <v>818</v>
      </c>
      <c r="I8" s="2348" t="s">
        <v>2173</v>
      </c>
      <c r="J8" s="2871">
        <v>354061835</v>
      </c>
      <c r="K8" s="2872"/>
      <c r="L8" s="168" t="s">
        <v>3510</v>
      </c>
      <c r="M8" s="2873" t="s">
        <v>6999</v>
      </c>
      <c r="N8" s="2874"/>
      <c r="O8" s="2445" t="s">
        <v>1932</v>
      </c>
      <c r="P8" s="168"/>
      <c r="Q8" s="2875">
        <v>2053948000</v>
      </c>
      <c r="R8" s="2876"/>
      <c r="S8" s="2877"/>
    </row>
    <row r="9" spans="1:27" s="293" customFormat="1" ht="11.25" customHeight="1">
      <c r="D9" s="331"/>
      <c r="E9" s="2349" t="s">
        <v>3895</v>
      </c>
      <c r="H9" s="2878">
        <v>2057229331</v>
      </c>
      <c r="I9" s="2877"/>
      <c r="J9" s="2447"/>
      <c r="K9" s="368" t="s">
        <v>1937</v>
      </c>
      <c r="L9" s="2696" t="s">
        <v>7145</v>
      </c>
      <c r="M9" s="2681"/>
      <c r="N9" s="2681"/>
      <c r="O9" s="2682"/>
      <c r="P9" s="2682"/>
      <c r="Q9" s="2681"/>
      <c r="R9" s="2681"/>
      <c r="S9" s="2683"/>
    </row>
    <row r="10" spans="1:27" s="293" customFormat="1" ht="11.25" customHeight="1">
      <c r="D10" s="331"/>
      <c r="E10" s="1194" t="s">
        <v>3894</v>
      </c>
      <c r="H10" s="326"/>
      <c r="K10" s="268"/>
      <c r="N10" s="363" t="s">
        <v>3434</v>
      </c>
      <c r="Q10" s="2358"/>
    </row>
    <row r="11" spans="1:27" s="293" customFormat="1" ht="4.3499999999999996" customHeight="1">
      <c r="D11" s="332"/>
      <c r="E11" s="2349"/>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48" t="s">
        <v>1258</v>
      </c>
      <c r="W12" s="2448"/>
      <c r="X12" s="2448"/>
      <c r="Y12" s="2448"/>
      <c r="Z12" s="2448"/>
    </row>
    <row r="13" spans="1:27" s="293" customFormat="1" ht="11.25" customHeight="1">
      <c r="C13" s="333" t="s">
        <v>1939</v>
      </c>
      <c r="D13" s="330" t="s">
        <v>1940</v>
      </c>
      <c r="H13" s="2357"/>
      <c r="I13" s="2357"/>
      <c r="J13" s="2357"/>
      <c r="N13" s="1020"/>
      <c r="W13" s="2449"/>
      <c r="X13" s="2449"/>
      <c r="Y13" s="2449"/>
      <c r="Z13" s="2449"/>
    </row>
    <row r="14" spans="1:27" s="293" customFormat="1" ht="11.25" customHeight="1">
      <c r="D14" s="295" t="s">
        <v>2066</v>
      </c>
      <c r="E14" s="293" t="s">
        <v>1810</v>
      </c>
      <c r="H14" s="2696" t="s">
        <v>7157</v>
      </c>
      <c r="I14" s="2879"/>
      <c r="J14" s="2879"/>
      <c r="K14" s="2879"/>
      <c r="L14" s="2879"/>
      <c r="M14" s="2879"/>
      <c r="N14" s="2880"/>
      <c r="O14" s="2445" t="s">
        <v>1942</v>
      </c>
      <c r="P14" s="2445"/>
      <c r="Q14" s="2696" t="s">
        <v>7140</v>
      </c>
      <c r="R14" s="2879"/>
      <c r="S14" s="2880"/>
    </row>
    <row r="15" spans="1:27" s="293" customFormat="1" ht="11.25" customHeight="1">
      <c r="D15" s="331"/>
      <c r="E15" s="2349" t="s">
        <v>999</v>
      </c>
      <c r="F15" s="305"/>
      <c r="H15" s="2698" t="s">
        <v>7143</v>
      </c>
      <c r="I15" s="2883"/>
      <c r="J15" s="2883"/>
      <c r="K15" s="2884"/>
      <c r="L15" s="2883"/>
      <c r="M15" s="2883"/>
      <c r="N15" s="2885"/>
      <c r="O15" s="2445" t="s">
        <v>1704</v>
      </c>
      <c r="P15" s="168"/>
      <c r="Q15" s="2696" t="s">
        <v>7010</v>
      </c>
      <c r="R15" s="2879"/>
      <c r="S15" s="2880"/>
    </row>
    <row r="16" spans="1:27" s="293" customFormat="1" ht="11.25" customHeight="1">
      <c r="D16" s="331"/>
      <c r="E16" s="2349" t="s">
        <v>600</v>
      </c>
      <c r="H16" s="2698" t="s">
        <v>7144</v>
      </c>
      <c r="I16" s="2884"/>
      <c r="J16" s="2792"/>
      <c r="K16" s="368" t="s">
        <v>2625</v>
      </c>
      <c r="L16" s="2696" t="s">
        <v>948</v>
      </c>
      <c r="M16" s="2879"/>
      <c r="N16" s="2880"/>
      <c r="O16" s="2445" t="s">
        <v>1679</v>
      </c>
      <c r="P16" s="168"/>
      <c r="Q16" s="2875">
        <v>2057229331</v>
      </c>
      <c r="R16" s="2876"/>
      <c r="S16" s="2877"/>
    </row>
    <row r="17" spans="3:19" s="293" customFormat="1" ht="11.25" customHeight="1">
      <c r="D17" s="295"/>
      <c r="E17" s="2349" t="s">
        <v>1754</v>
      </c>
      <c r="H17" s="2420" t="s">
        <v>818</v>
      </c>
      <c r="I17" s="168"/>
      <c r="J17" s="168"/>
      <c r="K17" s="2348" t="s">
        <v>2173</v>
      </c>
      <c r="L17" s="2871">
        <v>354061835</v>
      </c>
      <c r="M17" s="2872"/>
      <c r="N17" s="168"/>
      <c r="O17" s="2445" t="s">
        <v>1932</v>
      </c>
      <c r="P17" s="168"/>
      <c r="Q17" s="2875">
        <v>2053948000</v>
      </c>
      <c r="R17" s="2876"/>
      <c r="S17" s="2877"/>
    </row>
    <row r="18" spans="3:19" s="293" customFormat="1" ht="11.25" customHeight="1">
      <c r="D18" s="331"/>
      <c r="E18" s="2349" t="s">
        <v>3895</v>
      </c>
      <c r="H18" s="2878">
        <v>2057229331</v>
      </c>
      <c r="I18" s="2877"/>
      <c r="J18" s="2447"/>
      <c r="K18" s="368" t="s">
        <v>1937</v>
      </c>
      <c r="L18" s="2696" t="s">
        <v>7145</v>
      </c>
      <c r="M18" s="2681"/>
      <c r="N18" s="2681"/>
      <c r="O18" s="2682"/>
      <c r="P18" s="2682"/>
      <c r="Q18" s="2681"/>
      <c r="R18" s="2681"/>
      <c r="S18" s="2683"/>
    </row>
    <row r="19" spans="3:19" ht="4.3499999999999996" customHeight="1">
      <c r="D19" s="319"/>
      <c r="H19" s="2450"/>
      <c r="I19" s="2450"/>
      <c r="J19" s="2450"/>
      <c r="K19" s="2358"/>
      <c r="L19" s="2450"/>
      <c r="M19" s="2450"/>
      <c r="N19" s="2345"/>
      <c r="O19" s="2451"/>
      <c r="P19" s="2451"/>
      <c r="Q19" s="2358"/>
      <c r="R19" s="2451"/>
      <c r="S19" s="2451"/>
    </row>
    <row r="20" spans="3:19" s="293" customFormat="1" ht="11.25" customHeight="1">
      <c r="D20" s="295" t="s">
        <v>2067</v>
      </c>
      <c r="E20" s="293" t="s">
        <v>1811</v>
      </c>
      <c r="F20" s="2357"/>
      <c r="H20" s="2693"/>
      <c r="I20" s="2881"/>
      <c r="J20" s="2881"/>
      <c r="K20" s="2881"/>
      <c r="L20" s="2881"/>
      <c r="M20" s="2881"/>
      <c r="N20" s="2882"/>
      <c r="O20" s="2346" t="s">
        <v>1942</v>
      </c>
      <c r="P20" s="2346"/>
      <c r="Q20" s="2693"/>
      <c r="R20" s="2881"/>
      <c r="S20" s="2882"/>
    </row>
    <row r="21" spans="3:19" s="293" customFormat="1" ht="11.25" customHeight="1">
      <c r="D21" s="331"/>
      <c r="E21" s="2349" t="s">
        <v>999</v>
      </c>
      <c r="F21" s="305"/>
      <c r="H21" s="2698"/>
      <c r="I21" s="2883"/>
      <c r="J21" s="2883"/>
      <c r="K21" s="2884"/>
      <c r="L21" s="2883"/>
      <c r="M21" s="2883"/>
      <c r="N21" s="2885"/>
      <c r="O21" s="2346" t="s">
        <v>1704</v>
      </c>
      <c r="Q21" s="2743"/>
      <c r="R21" s="2789"/>
      <c r="S21" s="2790"/>
    </row>
    <row r="22" spans="3:19" s="293" customFormat="1" ht="11.25" customHeight="1">
      <c r="D22" s="331"/>
      <c r="E22" s="2349" t="s">
        <v>600</v>
      </c>
      <c r="H22" s="2698"/>
      <c r="I22" s="2884"/>
      <c r="J22" s="2792"/>
      <c r="K22" s="2352" t="s">
        <v>2625</v>
      </c>
      <c r="L22" s="2698"/>
      <c r="M22" s="2883"/>
      <c r="N22" s="2792"/>
      <c r="O22" s="2346" t="s">
        <v>1679</v>
      </c>
      <c r="Q22" s="2859"/>
      <c r="R22" s="2860"/>
      <c r="S22" s="2861"/>
    </row>
    <row r="23" spans="3:19" s="293" customFormat="1" ht="11.25" customHeight="1">
      <c r="E23" s="2349" t="s">
        <v>1754</v>
      </c>
      <c r="H23" s="2420"/>
      <c r="K23" s="1007" t="s">
        <v>2173</v>
      </c>
      <c r="L23" s="2686"/>
      <c r="M23" s="2892"/>
      <c r="O23" s="2346" t="s">
        <v>1932</v>
      </c>
      <c r="Q23" s="2859"/>
      <c r="R23" s="2860"/>
      <c r="S23" s="2861"/>
    </row>
    <row r="24" spans="3:19" s="293" customFormat="1" ht="11.25" customHeight="1">
      <c r="D24" s="331"/>
      <c r="E24" s="2349" t="s">
        <v>3895</v>
      </c>
      <c r="H24" s="2878"/>
      <c r="I24" s="2893"/>
      <c r="J24" s="2452"/>
      <c r="K24" s="2358" t="s">
        <v>1937</v>
      </c>
      <c r="L24" s="2858"/>
      <c r="M24" s="2816"/>
      <c r="N24" s="2747"/>
      <c r="O24" s="2747"/>
      <c r="P24" s="2747"/>
      <c r="Q24" s="2816"/>
      <c r="R24" s="2816"/>
      <c r="S24" s="2817"/>
    </row>
    <row r="25" spans="3:19" s="293" customFormat="1" ht="4.3499999999999996" customHeight="1">
      <c r="D25" s="331"/>
      <c r="E25" s="2357"/>
      <c r="F25" s="2357"/>
      <c r="G25" s="2346"/>
      <c r="H25" s="2450"/>
      <c r="I25" s="2450"/>
      <c r="J25" s="2450"/>
      <c r="K25" s="2358"/>
      <c r="L25" s="2450"/>
      <c r="M25" s="2450"/>
      <c r="N25" s="2345"/>
      <c r="O25" s="2451"/>
      <c r="P25" s="2451"/>
      <c r="Q25" s="2358"/>
      <c r="R25" s="2451"/>
      <c r="S25" s="2451"/>
    </row>
    <row r="26" spans="3:19" s="293" customFormat="1" ht="11.25" customHeight="1">
      <c r="D26" s="295" t="s">
        <v>1691</v>
      </c>
      <c r="E26" s="293" t="s">
        <v>1811</v>
      </c>
      <c r="F26" s="2357"/>
      <c r="H26" s="2693"/>
      <c r="I26" s="2881"/>
      <c r="J26" s="2881"/>
      <c r="K26" s="2881"/>
      <c r="L26" s="2881"/>
      <c r="M26" s="2881"/>
      <c r="N26" s="2882"/>
      <c r="O26" s="2346" t="s">
        <v>1942</v>
      </c>
      <c r="P26" s="2346"/>
      <c r="Q26" s="2693"/>
      <c r="R26" s="2881"/>
      <c r="S26" s="2882"/>
    </row>
    <row r="27" spans="3:19" s="293" customFormat="1" ht="11.25" customHeight="1">
      <c r="D27" s="331"/>
      <c r="E27" s="2349" t="s">
        <v>999</v>
      </c>
      <c r="F27" s="305"/>
      <c r="H27" s="2698"/>
      <c r="I27" s="2883"/>
      <c r="J27" s="2883"/>
      <c r="K27" s="2884"/>
      <c r="L27" s="2883"/>
      <c r="M27" s="2883"/>
      <c r="N27" s="2885"/>
      <c r="O27" s="2346" t="s">
        <v>1704</v>
      </c>
      <c r="Q27" s="2743"/>
      <c r="R27" s="2789"/>
      <c r="S27" s="2790"/>
    </row>
    <row r="28" spans="3:19" s="293" customFormat="1" ht="11.25" customHeight="1">
      <c r="D28" s="331"/>
      <c r="E28" s="2349" t="s">
        <v>600</v>
      </c>
      <c r="H28" s="2698"/>
      <c r="I28" s="2884"/>
      <c r="J28" s="2792"/>
      <c r="K28" s="2352" t="s">
        <v>2625</v>
      </c>
      <c r="L28" s="2698"/>
      <c r="M28" s="2883"/>
      <c r="N28" s="2792"/>
      <c r="O28" s="2346" t="s">
        <v>1679</v>
      </c>
      <c r="Q28" s="2859"/>
      <c r="R28" s="2860"/>
      <c r="S28" s="2861"/>
    </row>
    <row r="29" spans="3:19" s="293" customFormat="1" ht="11.25" customHeight="1">
      <c r="E29" s="2349" t="s">
        <v>1754</v>
      </c>
      <c r="H29" s="2420"/>
      <c r="K29" s="1007" t="s">
        <v>2173</v>
      </c>
      <c r="L29" s="2686"/>
      <c r="M29" s="2892"/>
      <c r="O29" s="2346" t="s">
        <v>1932</v>
      </c>
      <c r="Q29" s="2859"/>
      <c r="R29" s="2860"/>
      <c r="S29" s="2861"/>
    </row>
    <row r="30" spans="3:19" s="293" customFormat="1" ht="11.25" customHeight="1">
      <c r="D30" s="331"/>
      <c r="E30" s="2349" t="s">
        <v>3895</v>
      </c>
      <c r="H30" s="2878"/>
      <c r="I30" s="2893"/>
      <c r="J30" s="2452"/>
      <c r="K30" s="2358" t="s">
        <v>1937</v>
      </c>
      <c r="L30" s="2858"/>
      <c r="M30" s="2816"/>
      <c r="N30" s="2747"/>
      <c r="O30" s="2747"/>
      <c r="P30" s="2747"/>
      <c r="Q30" s="2816"/>
      <c r="R30" s="2816"/>
      <c r="S30" s="2817"/>
    </row>
    <row r="31" spans="3:19" ht="4.3499999999999996" customHeight="1"/>
    <row r="32" spans="3:19" s="293" customFormat="1" ht="11.25" customHeight="1">
      <c r="C32" s="333" t="s">
        <v>1941</v>
      </c>
      <c r="D32" s="330" t="s">
        <v>1813</v>
      </c>
      <c r="H32" s="2357"/>
      <c r="I32" s="2357"/>
      <c r="J32" s="2357"/>
      <c r="K32" s="1194" t="s">
        <v>3894</v>
      </c>
      <c r="L32" s="2357"/>
      <c r="M32" s="2357"/>
    </row>
    <row r="33" spans="3:19" s="293" customFormat="1" ht="11.25" customHeight="1">
      <c r="D33" s="295" t="s">
        <v>2066</v>
      </c>
      <c r="E33" s="293" t="s">
        <v>732</v>
      </c>
      <c r="H33" s="2696" t="s">
        <v>7122</v>
      </c>
      <c r="I33" s="2879"/>
      <c r="J33" s="2879"/>
      <c r="K33" s="2879"/>
      <c r="L33" s="2879"/>
      <c r="M33" s="2879"/>
      <c r="N33" s="2880"/>
      <c r="O33" s="2445" t="s">
        <v>1942</v>
      </c>
      <c r="P33" s="2445"/>
      <c r="Q33" s="2696" t="s">
        <v>7124</v>
      </c>
      <c r="R33" s="2879"/>
      <c r="S33" s="2880"/>
    </row>
    <row r="34" spans="3:19" s="293" customFormat="1" ht="11.25" customHeight="1">
      <c r="D34" s="331"/>
      <c r="E34" s="2349" t="s">
        <v>999</v>
      </c>
      <c r="F34" s="305"/>
      <c r="H34" s="2696" t="s">
        <v>7123</v>
      </c>
      <c r="I34" s="2879"/>
      <c r="J34" s="2879"/>
      <c r="K34" s="2879"/>
      <c r="L34" s="2879"/>
      <c r="M34" s="2879"/>
      <c r="N34" s="2880"/>
      <c r="O34" s="2445" t="s">
        <v>1704</v>
      </c>
      <c r="P34" s="168"/>
      <c r="Q34" s="2696" t="s">
        <v>7125</v>
      </c>
      <c r="R34" s="2879"/>
      <c r="S34" s="2880"/>
    </row>
    <row r="35" spans="3:19" s="293" customFormat="1" ht="11.25" customHeight="1">
      <c r="D35" s="331"/>
      <c r="E35" s="2349" t="s">
        <v>600</v>
      </c>
      <c r="H35" s="2696" t="s">
        <v>180</v>
      </c>
      <c r="I35" s="2879"/>
      <c r="J35" s="2880"/>
      <c r="K35" s="368" t="s">
        <v>2625</v>
      </c>
      <c r="L35" s="2696"/>
      <c r="M35" s="2879"/>
      <c r="N35" s="2880"/>
      <c r="O35" s="2445" t="s">
        <v>1679</v>
      </c>
      <c r="P35" s="168"/>
      <c r="Q35" s="2875">
        <v>2122042486</v>
      </c>
      <c r="R35" s="2876"/>
      <c r="S35" s="2877"/>
    </row>
    <row r="36" spans="3:19" s="293" customFormat="1" ht="11.25" customHeight="1">
      <c r="E36" s="2349" t="s">
        <v>1754</v>
      </c>
      <c r="H36" s="2420" t="s">
        <v>818</v>
      </c>
      <c r="I36" s="168"/>
      <c r="J36" s="168"/>
      <c r="K36" s="2348" t="s">
        <v>2173</v>
      </c>
      <c r="L36" s="2686">
        <v>361177024</v>
      </c>
      <c r="M36" s="2892"/>
      <c r="N36" s="168"/>
      <c r="O36" s="2445" t="s">
        <v>1932</v>
      </c>
      <c r="P36" s="168"/>
      <c r="Q36" s="2875">
        <v>5166620267</v>
      </c>
      <c r="R36" s="2876"/>
      <c r="S36" s="2877"/>
    </row>
    <row r="37" spans="3:19" s="293" customFormat="1" ht="11.25" customHeight="1">
      <c r="D37" s="331"/>
      <c r="E37" s="2349" t="s">
        <v>3895</v>
      </c>
      <c r="H37" s="2875">
        <v>5166620267</v>
      </c>
      <c r="I37" s="2877"/>
      <c r="J37" s="2447"/>
      <c r="K37" s="368" t="s">
        <v>1937</v>
      </c>
      <c r="L37" s="2680" t="s">
        <v>7126</v>
      </c>
      <c r="M37" s="2681"/>
      <c r="N37" s="2682"/>
      <c r="O37" s="2682"/>
      <c r="P37" s="2682"/>
      <c r="Q37" s="2681"/>
      <c r="R37" s="2681"/>
      <c r="S37" s="2683"/>
    </row>
    <row r="38" spans="3:19" ht="4.3499999999999996" customHeight="1">
      <c r="H38" s="2453"/>
      <c r="I38" s="2453"/>
      <c r="J38" s="2453"/>
      <c r="K38" s="368"/>
      <c r="L38" s="2453"/>
      <c r="M38" s="2453"/>
      <c r="N38" s="545"/>
      <c r="O38" s="2454"/>
      <c r="P38" s="2454"/>
      <c r="Q38" s="368"/>
      <c r="R38" s="2454"/>
      <c r="S38" s="2454"/>
    </row>
    <row r="39" spans="3:19" s="293" customFormat="1" ht="11.25" customHeight="1">
      <c r="D39" s="295" t="s">
        <v>2067</v>
      </c>
      <c r="E39" s="293" t="s">
        <v>733</v>
      </c>
      <c r="F39" s="295"/>
      <c r="H39" s="2696" t="s">
        <v>7001</v>
      </c>
      <c r="I39" s="2879"/>
      <c r="J39" s="2879"/>
      <c r="K39" s="2879"/>
      <c r="L39" s="2879"/>
      <c r="M39" s="2879"/>
      <c r="N39" s="2880"/>
      <c r="O39" s="2445" t="s">
        <v>1942</v>
      </c>
      <c r="P39" s="2445"/>
      <c r="Q39" s="2696" t="s">
        <v>7002</v>
      </c>
      <c r="R39" s="2879"/>
      <c r="S39" s="2880"/>
    </row>
    <row r="40" spans="3:19" s="293" customFormat="1" ht="11.25" customHeight="1">
      <c r="D40" s="331"/>
      <c r="E40" s="2349" t="s">
        <v>999</v>
      </c>
      <c r="F40" s="305"/>
      <c r="H40" s="2696" t="s">
        <v>7003</v>
      </c>
      <c r="I40" s="2879"/>
      <c r="J40" s="2879"/>
      <c r="K40" s="2879"/>
      <c r="L40" s="2879"/>
      <c r="M40" s="2879"/>
      <c r="N40" s="2880"/>
      <c r="O40" s="2445" t="s">
        <v>1704</v>
      </c>
      <c r="P40" s="168"/>
      <c r="Q40" s="2696" t="s">
        <v>7004</v>
      </c>
      <c r="R40" s="2879"/>
      <c r="S40" s="2880"/>
    </row>
    <row r="41" spans="3:19" s="293" customFormat="1" ht="11.25" customHeight="1">
      <c r="D41" s="331"/>
      <c r="E41" s="2349" t="s">
        <v>600</v>
      </c>
      <c r="H41" s="2698" t="s">
        <v>1179</v>
      </c>
      <c r="I41" s="2884"/>
      <c r="J41" s="2792"/>
      <c r="K41" s="368" t="s">
        <v>2625</v>
      </c>
      <c r="L41" s="2698" t="s">
        <v>7005</v>
      </c>
      <c r="M41" s="2883"/>
      <c r="N41" s="2792"/>
      <c r="O41" s="2445" t="s">
        <v>1679</v>
      </c>
      <c r="P41" s="168"/>
      <c r="Q41" s="2875">
        <v>3143290400</v>
      </c>
      <c r="R41" s="2876"/>
      <c r="S41" s="2877"/>
    </row>
    <row r="42" spans="3:19" s="293" customFormat="1" ht="11.25" customHeight="1">
      <c r="D42" s="295"/>
      <c r="E42" s="2349" t="s">
        <v>1754</v>
      </c>
      <c r="H42" s="2420" t="s">
        <v>828</v>
      </c>
      <c r="I42" s="168"/>
      <c r="J42" s="168"/>
      <c r="K42" s="2348" t="s">
        <v>2173</v>
      </c>
      <c r="L42" s="2686">
        <v>303261153</v>
      </c>
      <c r="M42" s="2892"/>
      <c r="N42" s="168"/>
      <c r="O42" s="2445" t="s">
        <v>1932</v>
      </c>
      <c r="P42" s="168"/>
      <c r="Q42" s="2875">
        <v>8169145367</v>
      </c>
      <c r="R42" s="2876"/>
      <c r="S42" s="2877"/>
    </row>
    <row r="43" spans="3:19" s="293" customFormat="1" ht="11.25" customHeight="1">
      <c r="D43" s="331"/>
      <c r="E43" s="2349" t="s">
        <v>3895</v>
      </c>
      <c r="H43" s="2875">
        <v>3143290400</v>
      </c>
      <c r="I43" s="2877"/>
      <c r="J43" s="2447"/>
      <c r="K43" s="368" t="s">
        <v>1937</v>
      </c>
      <c r="L43" s="2680" t="s">
        <v>7006</v>
      </c>
      <c r="M43" s="2681"/>
      <c r="N43" s="2682"/>
      <c r="O43" s="2682"/>
      <c r="P43" s="2682"/>
      <c r="Q43" s="2681"/>
      <c r="R43" s="2681"/>
      <c r="S43" s="2683"/>
    </row>
    <row r="44" spans="3:19" s="293" customFormat="1" ht="4.3499999999999996" customHeight="1">
      <c r="D44" s="331"/>
      <c r="E44" s="2349"/>
      <c r="F44" s="295"/>
      <c r="H44" s="326"/>
      <c r="I44" s="326"/>
      <c r="J44" s="2455"/>
      <c r="K44" s="2358"/>
      <c r="L44" s="326"/>
      <c r="M44" s="326"/>
      <c r="N44" s="2358"/>
      <c r="O44" s="326"/>
      <c r="P44" s="326"/>
      <c r="Q44" s="2358"/>
      <c r="R44" s="326"/>
      <c r="S44" s="326"/>
    </row>
    <row r="45" spans="3:19" s="293" customFormat="1" ht="11.25" customHeight="1">
      <c r="C45" s="334" t="s">
        <v>2468</v>
      </c>
      <c r="D45" s="330" t="s">
        <v>633</v>
      </c>
      <c r="H45" s="2357"/>
      <c r="I45" s="2357"/>
      <c r="J45" s="2357"/>
      <c r="K45" s="1194" t="s">
        <v>3894</v>
      </c>
      <c r="L45" s="2357"/>
      <c r="M45" s="2357"/>
    </row>
    <row r="46" spans="3:19" s="293" customFormat="1" ht="11.25" customHeight="1">
      <c r="E46" s="293" t="s">
        <v>90</v>
      </c>
      <c r="H46" s="2696" t="s">
        <v>7158</v>
      </c>
      <c r="I46" s="2879"/>
      <c r="J46" s="2879"/>
      <c r="K46" s="2879"/>
      <c r="L46" s="2879"/>
      <c r="M46" s="2879"/>
      <c r="N46" s="2880"/>
      <c r="O46" s="2346" t="s">
        <v>1942</v>
      </c>
      <c r="P46" s="2346"/>
      <c r="Q46" s="2696" t="s">
        <v>7140</v>
      </c>
      <c r="R46" s="2879"/>
      <c r="S46" s="2880"/>
    </row>
    <row r="47" spans="3:19" s="293" customFormat="1" ht="11.25" customHeight="1">
      <c r="D47" s="331"/>
      <c r="E47" s="2349" t="s">
        <v>999</v>
      </c>
      <c r="F47" s="305"/>
      <c r="H47" s="2698" t="s">
        <v>7143</v>
      </c>
      <c r="I47" s="2883"/>
      <c r="J47" s="2883"/>
      <c r="K47" s="2884"/>
      <c r="L47" s="2883"/>
      <c r="M47" s="2883"/>
      <c r="N47" s="2885"/>
      <c r="O47" s="2346" t="s">
        <v>1704</v>
      </c>
      <c r="Q47" s="2696" t="s">
        <v>7010</v>
      </c>
      <c r="R47" s="2879"/>
      <c r="S47" s="2880"/>
    </row>
    <row r="48" spans="3:19" s="293" customFormat="1" ht="11.25" customHeight="1">
      <c r="D48" s="331"/>
      <c r="E48" s="2349" t="s">
        <v>600</v>
      </c>
      <c r="H48" s="2698" t="s">
        <v>7144</v>
      </c>
      <c r="I48" s="2884"/>
      <c r="J48" s="2792"/>
      <c r="K48" s="2352" t="s">
        <v>2625</v>
      </c>
      <c r="L48" s="2698" t="s">
        <v>7159</v>
      </c>
      <c r="M48" s="2883"/>
      <c r="N48" s="2792"/>
      <c r="O48" s="2346" t="s">
        <v>1679</v>
      </c>
      <c r="Q48" s="2875">
        <v>2057229331</v>
      </c>
      <c r="R48" s="2876"/>
      <c r="S48" s="2877"/>
    </row>
    <row r="49" spans="1:19" s="293" customFormat="1" ht="11.25" customHeight="1">
      <c r="E49" s="2349" t="s">
        <v>1754</v>
      </c>
      <c r="H49" s="2420" t="s">
        <v>818</v>
      </c>
      <c r="K49" s="1007" t="s">
        <v>2173</v>
      </c>
      <c r="L49" s="2871">
        <v>354061835</v>
      </c>
      <c r="M49" s="2872"/>
      <c r="O49" s="2346" t="s">
        <v>1932</v>
      </c>
      <c r="Q49" s="2875">
        <v>2053948000</v>
      </c>
      <c r="R49" s="2876"/>
      <c r="S49" s="2877"/>
    </row>
    <row r="50" spans="1:19" s="293" customFormat="1" ht="11.25" customHeight="1">
      <c r="D50" s="331"/>
      <c r="E50" s="2349" t="s">
        <v>3895</v>
      </c>
      <c r="H50" s="2878">
        <v>2057229331</v>
      </c>
      <c r="I50" s="2877"/>
      <c r="J50" s="2452"/>
      <c r="K50" s="2358" t="s">
        <v>1937</v>
      </c>
      <c r="L50" s="2680" t="s">
        <v>7145</v>
      </c>
      <c r="M50" s="2681"/>
      <c r="N50" s="2682"/>
      <c r="O50" s="2682"/>
      <c r="P50" s="2682"/>
      <c r="Q50" s="2681"/>
      <c r="R50" s="2681"/>
      <c r="S50" s="2683"/>
    </row>
    <row r="51" spans="1:19" ht="6.75" customHeight="1"/>
    <row r="52" spans="1:19" s="293" customFormat="1" ht="13.35" customHeight="1">
      <c r="A52" s="295" t="s">
        <v>722</v>
      </c>
      <c r="B52" s="295" t="s">
        <v>634</v>
      </c>
      <c r="F52" s="295"/>
      <c r="G52" s="2358"/>
      <c r="H52" s="2358"/>
      <c r="I52" s="2358"/>
      <c r="J52" s="2357"/>
      <c r="K52" s="1194" t="s">
        <v>3894</v>
      </c>
      <c r="L52" s="2357"/>
      <c r="M52" s="2357"/>
      <c r="N52" s="2357"/>
      <c r="O52" s="2357"/>
      <c r="P52" s="2357"/>
      <c r="Q52" s="2357"/>
      <c r="R52" s="2357"/>
      <c r="S52" s="2357"/>
    </row>
    <row r="53" spans="1:19" s="293" customFormat="1" ht="3" customHeight="1">
      <c r="A53" s="295"/>
      <c r="B53" s="295"/>
      <c r="F53" s="295"/>
      <c r="G53" s="2358"/>
      <c r="H53" s="2456"/>
      <c r="I53" s="2456"/>
      <c r="J53" s="2456"/>
      <c r="K53" s="2345"/>
      <c r="L53" s="2456"/>
      <c r="M53" s="2456"/>
      <c r="N53" s="2345"/>
      <c r="O53" s="2451"/>
      <c r="P53" s="2451"/>
      <c r="Q53" s="2358"/>
      <c r="R53" s="2451"/>
      <c r="S53" s="2451"/>
    </row>
    <row r="54" spans="1:19" s="293" customFormat="1" ht="11.25" customHeight="1">
      <c r="B54" s="295" t="s">
        <v>1936</v>
      </c>
      <c r="C54" s="295" t="s">
        <v>277</v>
      </c>
      <c r="H54" s="2696" t="s">
        <v>7007</v>
      </c>
      <c r="I54" s="2879"/>
      <c r="J54" s="2879"/>
      <c r="K54" s="2879"/>
      <c r="L54" s="2879"/>
      <c r="M54" s="2879"/>
      <c r="N54" s="2880"/>
      <c r="O54" s="2445" t="s">
        <v>1942</v>
      </c>
      <c r="P54" s="2445"/>
      <c r="Q54" s="2696" t="s">
        <v>6996</v>
      </c>
      <c r="R54" s="2879"/>
      <c r="S54" s="2880"/>
    </row>
    <row r="55" spans="1:19" s="293" customFormat="1" ht="11.25" customHeight="1">
      <c r="D55" s="331"/>
      <c r="E55" s="2349" t="s">
        <v>999</v>
      </c>
      <c r="F55" s="305"/>
      <c r="H55" s="2696" t="s">
        <v>6988</v>
      </c>
      <c r="I55" s="2879"/>
      <c r="J55" s="2879"/>
      <c r="K55" s="2879"/>
      <c r="L55" s="2879"/>
      <c r="M55" s="2879"/>
      <c r="N55" s="2880"/>
      <c r="O55" s="2445" t="s">
        <v>1704</v>
      </c>
      <c r="P55" s="168"/>
      <c r="Q55" s="2696" t="s">
        <v>6997</v>
      </c>
      <c r="R55" s="2879"/>
      <c r="S55" s="2880"/>
    </row>
    <row r="56" spans="1:19" s="293" customFormat="1" ht="11.25" customHeight="1">
      <c r="D56" s="331"/>
      <c r="E56" s="2349" t="s">
        <v>600</v>
      </c>
      <c r="H56" s="2698" t="s">
        <v>6989</v>
      </c>
      <c r="I56" s="2884"/>
      <c r="J56" s="2792"/>
      <c r="K56" s="368" t="s">
        <v>2625</v>
      </c>
      <c r="L56" s="2696" t="s">
        <v>7008</v>
      </c>
      <c r="M56" s="2879"/>
      <c r="N56" s="2880"/>
      <c r="O56" s="2445" t="s">
        <v>1679</v>
      </c>
      <c r="P56" s="168"/>
      <c r="Q56" s="2875">
        <v>2569976659</v>
      </c>
      <c r="R56" s="2876"/>
      <c r="S56" s="2877"/>
    </row>
    <row r="57" spans="1:19" s="293" customFormat="1" ht="11.25" customHeight="1">
      <c r="E57" s="2349" t="s">
        <v>1754</v>
      </c>
      <c r="H57" s="2420" t="s">
        <v>818</v>
      </c>
      <c r="I57" s="168"/>
      <c r="J57" s="168"/>
      <c r="K57" s="2348" t="s">
        <v>2173</v>
      </c>
      <c r="L57" s="2894">
        <v>359713484</v>
      </c>
      <c r="M57" s="2895"/>
      <c r="N57" s="168"/>
      <c r="O57" s="2445" t="s">
        <v>1932</v>
      </c>
      <c r="P57" s="168"/>
      <c r="Q57" s="2875">
        <v>2569976659</v>
      </c>
      <c r="R57" s="2876"/>
      <c r="S57" s="2877"/>
    </row>
    <row r="58" spans="1:19" s="293" customFormat="1" ht="11.25" customHeight="1">
      <c r="D58" s="331"/>
      <c r="E58" s="2349" t="s">
        <v>3895</v>
      </c>
      <c r="H58" s="2875">
        <v>2564174920</v>
      </c>
      <c r="I58" s="2877"/>
      <c r="J58" s="2447">
        <v>295</v>
      </c>
      <c r="K58" s="368" t="s">
        <v>1937</v>
      </c>
      <c r="L58" s="2696" t="s">
        <v>6991</v>
      </c>
      <c r="M58" s="2682"/>
      <c r="N58" s="2682"/>
      <c r="O58" s="2682"/>
      <c r="P58" s="2682"/>
      <c r="Q58" s="2682"/>
      <c r="R58" s="2682"/>
      <c r="S58" s="2697"/>
    </row>
    <row r="59" spans="1:19" s="293" customFormat="1" ht="6.6" customHeight="1">
      <c r="D59" s="331"/>
      <c r="E59" s="2357"/>
      <c r="F59" s="2357"/>
      <c r="G59" s="2346"/>
      <c r="H59" s="2450"/>
      <c r="I59" s="2450"/>
      <c r="J59" s="2450"/>
      <c r="K59" s="2358"/>
      <c r="L59" s="2450"/>
      <c r="M59" s="2450"/>
      <c r="N59" s="2345"/>
      <c r="O59" s="2451"/>
      <c r="P59" s="2451"/>
      <c r="Q59" s="2358"/>
      <c r="R59" s="2451"/>
      <c r="S59" s="2451"/>
    </row>
    <row r="60" spans="1:19" s="293" customFormat="1" ht="11.25" customHeight="1">
      <c r="B60" s="295" t="s">
        <v>1938</v>
      </c>
      <c r="C60" s="295" t="s">
        <v>278</v>
      </c>
      <c r="H60" s="2696" t="s">
        <v>7160</v>
      </c>
      <c r="I60" s="2879"/>
      <c r="J60" s="2879"/>
      <c r="K60" s="2879"/>
      <c r="L60" s="2879"/>
      <c r="M60" s="2879"/>
      <c r="N60" s="2880"/>
      <c r="O60" s="2346" t="s">
        <v>1942</v>
      </c>
      <c r="P60" s="2346"/>
      <c r="Q60" s="2696" t="s">
        <v>7140</v>
      </c>
      <c r="R60" s="2879"/>
      <c r="S60" s="2880"/>
    </row>
    <row r="61" spans="1:19" s="293" customFormat="1" ht="11.25" customHeight="1">
      <c r="D61" s="331"/>
      <c r="E61" s="2349" t="s">
        <v>999</v>
      </c>
      <c r="F61" s="305"/>
      <c r="H61" s="2698" t="s">
        <v>7143</v>
      </c>
      <c r="I61" s="2883"/>
      <c r="J61" s="2883"/>
      <c r="K61" s="2884"/>
      <c r="L61" s="2883"/>
      <c r="M61" s="2883"/>
      <c r="N61" s="2885"/>
      <c r="O61" s="2346" t="s">
        <v>1704</v>
      </c>
      <c r="Q61" s="2696" t="s">
        <v>7010</v>
      </c>
      <c r="R61" s="2879"/>
      <c r="S61" s="2880"/>
    </row>
    <row r="62" spans="1:19" s="293" customFormat="1" ht="11.25" customHeight="1">
      <c r="D62" s="331"/>
      <c r="E62" s="2349" t="s">
        <v>600</v>
      </c>
      <c r="H62" s="2698" t="s">
        <v>7144</v>
      </c>
      <c r="I62" s="2884"/>
      <c r="J62" s="2792"/>
      <c r="K62" s="2352" t="s">
        <v>2625</v>
      </c>
      <c r="L62" s="2698" t="s">
        <v>7159</v>
      </c>
      <c r="M62" s="2883"/>
      <c r="N62" s="2792"/>
      <c r="O62" s="2346" t="s">
        <v>1679</v>
      </c>
      <c r="Q62" s="2875">
        <v>2057229331</v>
      </c>
      <c r="R62" s="2876"/>
      <c r="S62" s="2877"/>
    </row>
    <row r="63" spans="1:19" s="293" customFormat="1" ht="11.25" customHeight="1">
      <c r="E63" s="2349" t="s">
        <v>1754</v>
      </c>
      <c r="H63" s="2420" t="s">
        <v>818</v>
      </c>
      <c r="K63" s="1007" t="s">
        <v>2173</v>
      </c>
      <c r="L63" s="2871">
        <v>354061835</v>
      </c>
      <c r="M63" s="2872"/>
      <c r="O63" s="2346" t="s">
        <v>1932</v>
      </c>
      <c r="Q63" s="2875">
        <v>2053948000</v>
      </c>
      <c r="R63" s="2876"/>
      <c r="S63" s="2877"/>
    </row>
    <row r="64" spans="1:19" s="293" customFormat="1" ht="11.25" customHeight="1">
      <c r="D64" s="331"/>
      <c r="E64" s="2349" t="s">
        <v>3895</v>
      </c>
      <c r="H64" s="2878">
        <v>2057229331</v>
      </c>
      <c r="I64" s="2877"/>
      <c r="J64" s="2452"/>
      <c r="K64" s="2358" t="s">
        <v>1937</v>
      </c>
      <c r="L64" s="2680" t="s">
        <v>7145</v>
      </c>
      <c r="M64" s="2681"/>
      <c r="N64" s="2682"/>
      <c r="O64" s="2682"/>
      <c r="P64" s="2682"/>
      <c r="Q64" s="2681"/>
      <c r="R64" s="2681"/>
      <c r="S64" s="2683"/>
    </row>
    <row r="65" spans="1:19" s="293" customFormat="1" ht="6.6" customHeight="1">
      <c r="D65" s="331"/>
      <c r="E65" s="2357"/>
      <c r="F65" s="2357"/>
      <c r="G65" s="2346"/>
      <c r="H65" s="2450"/>
      <c r="I65" s="2450"/>
      <c r="J65" s="2450"/>
      <c r="K65" s="2358"/>
      <c r="L65" s="2450"/>
      <c r="M65" s="2450"/>
      <c r="N65" s="2345"/>
      <c r="O65" s="2451"/>
      <c r="P65" s="2451"/>
      <c r="Q65" s="2358"/>
      <c r="R65" s="2451"/>
      <c r="S65" s="2451"/>
    </row>
    <row r="66" spans="1:19" s="293" customFormat="1" ht="11.25" customHeight="1">
      <c r="B66" s="295" t="s">
        <v>731</v>
      </c>
      <c r="C66" s="295" t="s">
        <v>1496</v>
      </c>
      <c r="H66" s="2693"/>
      <c r="I66" s="2881"/>
      <c r="J66" s="2881"/>
      <c r="K66" s="2881"/>
      <c r="L66" s="2881"/>
      <c r="M66" s="2881"/>
      <c r="N66" s="2882"/>
      <c r="O66" s="2346" t="s">
        <v>1942</v>
      </c>
      <c r="P66" s="2346"/>
      <c r="Q66" s="2693"/>
      <c r="R66" s="2881"/>
      <c r="S66" s="2882"/>
    </row>
    <row r="67" spans="1:19" s="293" customFormat="1" ht="11.25" customHeight="1">
      <c r="D67" s="331"/>
      <c r="E67" s="2349" t="s">
        <v>999</v>
      </c>
      <c r="F67" s="305"/>
      <c r="H67" s="2698"/>
      <c r="I67" s="2883"/>
      <c r="J67" s="2883"/>
      <c r="K67" s="2884"/>
      <c r="L67" s="2883"/>
      <c r="M67" s="2883"/>
      <c r="N67" s="2885"/>
      <c r="O67" s="2346" t="s">
        <v>1704</v>
      </c>
      <c r="Q67" s="2743"/>
      <c r="R67" s="2789"/>
      <c r="S67" s="2790"/>
    </row>
    <row r="68" spans="1:19" s="293" customFormat="1" ht="11.25" customHeight="1">
      <c r="D68" s="331"/>
      <c r="E68" s="2349" t="s">
        <v>600</v>
      </c>
      <c r="H68" s="2698"/>
      <c r="I68" s="2884"/>
      <c r="J68" s="2792"/>
      <c r="K68" s="2352" t="s">
        <v>2625</v>
      </c>
      <c r="L68" s="2698"/>
      <c r="M68" s="2883"/>
      <c r="N68" s="2792"/>
      <c r="O68" s="2346" t="s">
        <v>1679</v>
      </c>
      <c r="Q68" s="2859"/>
      <c r="R68" s="2860"/>
      <c r="S68" s="2861"/>
    </row>
    <row r="69" spans="1:19" s="293" customFormat="1" ht="11.25" customHeight="1">
      <c r="E69" s="2349" t="s">
        <v>1754</v>
      </c>
      <c r="H69" s="2420"/>
      <c r="K69" s="1007" t="s">
        <v>2173</v>
      </c>
      <c r="L69" s="2686"/>
      <c r="M69" s="2892"/>
      <c r="O69" s="2346" t="s">
        <v>1932</v>
      </c>
      <c r="Q69" s="2859"/>
      <c r="R69" s="2860"/>
      <c r="S69" s="2861"/>
    </row>
    <row r="70" spans="1:19" s="293" customFormat="1" ht="11.25" customHeight="1">
      <c r="D70" s="331"/>
      <c r="E70" s="2349" t="s">
        <v>3895</v>
      </c>
      <c r="H70" s="2878"/>
      <c r="I70" s="2893"/>
      <c r="J70" s="2452"/>
      <c r="K70" s="2358" t="s">
        <v>1937</v>
      </c>
      <c r="L70" s="2858"/>
      <c r="M70" s="2816"/>
      <c r="N70" s="2747"/>
      <c r="O70" s="2747"/>
      <c r="P70" s="2747"/>
      <c r="Q70" s="2816"/>
      <c r="R70" s="2816"/>
      <c r="S70" s="2817"/>
    </row>
    <row r="71" spans="1:19" ht="6.6" customHeight="1">
      <c r="H71" s="2450"/>
      <c r="I71" s="2450"/>
      <c r="J71" s="2450"/>
      <c r="K71" s="2358"/>
      <c r="L71" s="2450"/>
      <c r="M71" s="2450"/>
      <c r="N71" s="2345"/>
      <c r="O71" s="2451"/>
      <c r="P71" s="2451"/>
      <c r="Q71" s="2358"/>
      <c r="R71" s="2451"/>
      <c r="S71" s="2451"/>
    </row>
    <row r="72" spans="1:19" s="293" customFormat="1" ht="11.25" customHeight="1">
      <c r="B72" s="295" t="s">
        <v>2065</v>
      </c>
      <c r="C72" s="295" t="s">
        <v>279</v>
      </c>
      <c r="H72" s="2696" t="s">
        <v>7007</v>
      </c>
      <c r="I72" s="2879"/>
      <c r="J72" s="2879"/>
      <c r="K72" s="2879"/>
      <c r="L72" s="2879"/>
      <c r="M72" s="2879"/>
      <c r="N72" s="2880"/>
      <c r="O72" s="2346" t="s">
        <v>1942</v>
      </c>
      <c r="P72" s="2346"/>
      <c r="Q72" s="2696" t="s">
        <v>6996</v>
      </c>
      <c r="R72" s="2879"/>
      <c r="S72" s="2880"/>
    </row>
    <row r="73" spans="1:19" s="293" customFormat="1" ht="11.25" customHeight="1">
      <c r="D73" s="331"/>
      <c r="E73" s="2349" t="s">
        <v>999</v>
      </c>
      <c r="F73" s="305"/>
      <c r="H73" s="2696" t="s">
        <v>6988</v>
      </c>
      <c r="I73" s="2879"/>
      <c r="J73" s="2879"/>
      <c r="K73" s="2879"/>
      <c r="L73" s="2879"/>
      <c r="M73" s="2879"/>
      <c r="N73" s="2880"/>
      <c r="O73" s="2346" t="s">
        <v>1704</v>
      </c>
      <c r="Q73" s="2696" t="s">
        <v>7010</v>
      </c>
      <c r="R73" s="2879"/>
      <c r="S73" s="2880"/>
    </row>
    <row r="74" spans="1:19" s="293" customFormat="1" ht="11.25" customHeight="1">
      <c r="D74" s="331"/>
      <c r="E74" s="2349" t="s">
        <v>600</v>
      </c>
      <c r="H74" s="2696" t="s">
        <v>6989</v>
      </c>
      <c r="I74" s="2879"/>
      <c r="J74" s="2880"/>
      <c r="K74" s="2352" t="s">
        <v>2625</v>
      </c>
      <c r="L74" s="2698" t="s">
        <v>7008</v>
      </c>
      <c r="M74" s="2883"/>
      <c r="N74" s="2792"/>
      <c r="O74" s="2346" t="s">
        <v>1679</v>
      </c>
      <c r="Q74" s="2875">
        <v>2569976659</v>
      </c>
      <c r="R74" s="2876"/>
      <c r="S74" s="2877"/>
    </row>
    <row r="75" spans="1:19" s="293" customFormat="1" ht="11.25" customHeight="1">
      <c r="E75" s="2349" t="s">
        <v>1754</v>
      </c>
      <c r="H75" s="2420" t="s">
        <v>818</v>
      </c>
      <c r="K75" s="1007" t="s">
        <v>2173</v>
      </c>
      <c r="L75" s="2686">
        <v>359713484</v>
      </c>
      <c r="M75" s="2892"/>
      <c r="O75" s="2346" t="s">
        <v>1932</v>
      </c>
      <c r="Q75" s="2875">
        <v>2569976659</v>
      </c>
      <c r="R75" s="2876"/>
      <c r="S75" s="2877"/>
    </row>
    <row r="76" spans="1:19" s="293" customFormat="1" ht="11.25" customHeight="1">
      <c r="D76" s="331"/>
      <c r="E76" s="2349" t="s">
        <v>3895</v>
      </c>
      <c r="H76" s="2875">
        <v>2564174920</v>
      </c>
      <c r="I76" s="2877"/>
      <c r="J76" s="2447">
        <v>295</v>
      </c>
      <c r="K76" s="2358" t="s">
        <v>1937</v>
      </c>
      <c r="L76" s="2680" t="s">
        <v>6991</v>
      </c>
      <c r="M76" s="2681"/>
      <c r="N76" s="2682"/>
      <c r="O76" s="2682"/>
      <c r="P76" s="2682"/>
      <c r="Q76" s="2681"/>
      <c r="R76" s="2681"/>
      <c r="S76" s="2683"/>
    </row>
    <row r="77" spans="1:19" ht="6.75" customHeight="1"/>
    <row r="78" spans="1:19" s="2349" customFormat="1" ht="13.35" customHeight="1">
      <c r="A78" s="298" t="s">
        <v>724</v>
      </c>
      <c r="B78" s="298" t="s">
        <v>280</v>
      </c>
      <c r="D78" s="298"/>
      <c r="E78" s="2346"/>
      <c r="F78" s="2351"/>
      <c r="G78" s="2351"/>
      <c r="H78" s="2351"/>
      <c r="I78" s="2351"/>
      <c r="J78" s="2351"/>
      <c r="K78" s="1194" t="s">
        <v>3894</v>
      </c>
      <c r="L78" s="2351"/>
      <c r="M78" s="2351"/>
    </row>
    <row r="79" spans="1:19" s="2349" customFormat="1" ht="3" customHeight="1">
      <c r="A79" s="298"/>
      <c r="B79" s="298"/>
      <c r="D79" s="298"/>
      <c r="E79" s="2346"/>
      <c r="F79" s="2351"/>
      <c r="G79" s="2351"/>
      <c r="H79" s="2456"/>
      <c r="I79" s="2456"/>
      <c r="J79" s="2456"/>
      <c r="K79" s="2345"/>
      <c r="L79" s="2456"/>
      <c r="M79" s="2456"/>
      <c r="N79" s="2345"/>
      <c r="O79" s="2451"/>
      <c r="P79" s="2451"/>
      <c r="Q79" s="2358"/>
      <c r="R79" s="2451"/>
      <c r="S79" s="2451"/>
    </row>
    <row r="80" spans="1:19" s="293" customFormat="1" ht="11.25" customHeight="1">
      <c r="B80" s="295" t="s">
        <v>1936</v>
      </c>
      <c r="C80" s="295" t="s">
        <v>281</v>
      </c>
      <c r="H80" s="2693"/>
      <c r="I80" s="2881"/>
      <c r="J80" s="2881"/>
      <c r="K80" s="2881"/>
      <c r="L80" s="2881"/>
      <c r="M80" s="2881"/>
      <c r="N80" s="2882"/>
      <c r="O80" s="2346" t="s">
        <v>1942</v>
      </c>
      <c r="P80" s="2346"/>
      <c r="Q80" s="2693"/>
      <c r="R80" s="2881"/>
      <c r="S80" s="2882"/>
    </row>
    <row r="81" spans="2:19" s="293" customFormat="1" ht="11.25" customHeight="1">
      <c r="D81" s="331"/>
      <c r="E81" s="2349" t="s">
        <v>999</v>
      </c>
      <c r="F81" s="305"/>
      <c r="H81" s="2698"/>
      <c r="I81" s="2883"/>
      <c r="J81" s="2883"/>
      <c r="K81" s="2884"/>
      <c r="L81" s="2883"/>
      <c r="M81" s="2883"/>
      <c r="N81" s="2885"/>
      <c r="O81" s="2346" t="s">
        <v>1704</v>
      </c>
      <c r="Q81" s="2743"/>
      <c r="R81" s="2789"/>
      <c r="S81" s="2790"/>
    </row>
    <row r="82" spans="2:19" s="293" customFormat="1" ht="11.25" customHeight="1">
      <c r="D82" s="331"/>
      <c r="E82" s="2349" t="s">
        <v>600</v>
      </c>
      <c r="H82" s="2698"/>
      <c r="I82" s="2884"/>
      <c r="J82" s="2792"/>
      <c r="K82" s="2352" t="s">
        <v>2625</v>
      </c>
      <c r="L82" s="2698"/>
      <c r="M82" s="2883"/>
      <c r="N82" s="2792"/>
      <c r="O82" s="2346" t="s">
        <v>1679</v>
      </c>
      <c r="Q82" s="2859"/>
      <c r="R82" s="2860"/>
      <c r="S82" s="2861"/>
    </row>
    <row r="83" spans="2:19" s="293" customFormat="1" ht="11.25" customHeight="1">
      <c r="E83" s="2349" t="s">
        <v>1754</v>
      </c>
      <c r="H83" s="2420"/>
      <c r="K83" s="1007" t="s">
        <v>2173</v>
      </c>
      <c r="L83" s="2686"/>
      <c r="M83" s="2892"/>
      <c r="O83" s="2346" t="s">
        <v>1932</v>
      </c>
      <c r="Q83" s="2859"/>
      <c r="R83" s="2860"/>
      <c r="S83" s="2861"/>
    </row>
    <row r="84" spans="2:19" s="293" customFormat="1" ht="11.25" customHeight="1">
      <c r="D84" s="331"/>
      <c r="E84" s="2349" t="s">
        <v>3895</v>
      </c>
      <c r="H84" s="2878"/>
      <c r="I84" s="2893"/>
      <c r="J84" s="2452"/>
      <c r="K84" s="2358" t="s">
        <v>1937</v>
      </c>
      <c r="L84" s="2858"/>
      <c r="M84" s="2816"/>
      <c r="N84" s="2747"/>
      <c r="O84" s="2747"/>
      <c r="P84" s="2747"/>
      <c r="Q84" s="2816"/>
      <c r="R84" s="2816"/>
      <c r="S84" s="2817"/>
    </row>
    <row r="85" spans="2:19" ht="6.6" customHeight="1">
      <c r="H85" s="2450"/>
      <c r="I85" s="2450"/>
      <c r="J85" s="2450"/>
      <c r="K85" s="2358"/>
      <c r="L85" s="2450"/>
      <c r="M85" s="2450"/>
      <c r="N85" s="2345"/>
      <c r="O85" s="2451"/>
      <c r="P85" s="2451"/>
      <c r="Q85" s="2358"/>
      <c r="R85" s="2451"/>
      <c r="S85" s="2451"/>
    </row>
    <row r="86" spans="2:19" s="293" customFormat="1" ht="11.25" customHeight="1">
      <c r="B86" s="295" t="s">
        <v>1938</v>
      </c>
      <c r="C86" s="295" t="s">
        <v>282</v>
      </c>
      <c r="H86" s="2696" t="s">
        <v>7009</v>
      </c>
      <c r="I86" s="2879"/>
      <c r="J86" s="2879"/>
      <c r="K86" s="2879"/>
      <c r="L86" s="2879"/>
      <c r="M86" s="2879"/>
      <c r="N86" s="2880"/>
      <c r="O86" s="2445" t="s">
        <v>1942</v>
      </c>
      <c r="P86" s="2445"/>
      <c r="Q86" s="2696" t="s">
        <v>6996</v>
      </c>
      <c r="R86" s="2879"/>
      <c r="S86" s="2880"/>
    </row>
    <row r="87" spans="2:19" s="293" customFormat="1" ht="11.25" customHeight="1">
      <c r="D87" s="331"/>
      <c r="E87" s="2349" t="s">
        <v>999</v>
      </c>
      <c r="F87" s="305"/>
      <c r="H87" s="2696" t="s">
        <v>6988</v>
      </c>
      <c r="I87" s="2879"/>
      <c r="J87" s="2879"/>
      <c r="K87" s="2879"/>
      <c r="L87" s="2879"/>
      <c r="M87" s="2879"/>
      <c r="N87" s="2880"/>
      <c r="O87" s="2445" t="s">
        <v>1704</v>
      </c>
      <c r="P87" s="168"/>
      <c r="Q87" s="2696" t="s">
        <v>7010</v>
      </c>
      <c r="R87" s="2879"/>
      <c r="S87" s="2880"/>
    </row>
    <row r="88" spans="2:19" s="293" customFormat="1" ht="11.25" customHeight="1">
      <c r="D88" s="331"/>
      <c r="E88" s="2349" t="s">
        <v>600</v>
      </c>
      <c r="H88" s="2696" t="s">
        <v>7011</v>
      </c>
      <c r="I88" s="2879"/>
      <c r="J88" s="2880"/>
      <c r="K88" s="368" t="s">
        <v>2625</v>
      </c>
      <c r="L88" s="2698" t="s">
        <v>7012</v>
      </c>
      <c r="M88" s="2883"/>
      <c r="N88" s="2792"/>
      <c r="O88" s="2445" t="s">
        <v>1679</v>
      </c>
      <c r="P88" s="168"/>
      <c r="Q88" s="2875">
        <v>2569976659</v>
      </c>
      <c r="R88" s="2876"/>
      <c r="S88" s="2877"/>
    </row>
    <row r="89" spans="2:19" s="293" customFormat="1" ht="11.25" customHeight="1">
      <c r="E89" s="2349" t="s">
        <v>1754</v>
      </c>
      <c r="H89" s="2420" t="s">
        <v>818</v>
      </c>
      <c r="I89" s="168"/>
      <c r="J89" s="168"/>
      <c r="K89" s="2348" t="s">
        <v>2173</v>
      </c>
      <c r="L89" s="2686">
        <v>359713484</v>
      </c>
      <c r="M89" s="2892"/>
      <c r="N89" s="168"/>
      <c r="O89" s="2445" t="s">
        <v>1932</v>
      </c>
      <c r="P89" s="168"/>
      <c r="Q89" s="2875">
        <v>2569976659</v>
      </c>
      <c r="R89" s="2876"/>
      <c r="S89" s="2877"/>
    </row>
    <row r="90" spans="2:19" s="293" customFormat="1" ht="11.25" customHeight="1">
      <c r="D90" s="331"/>
      <c r="E90" s="2349" t="s">
        <v>3895</v>
      </c>
      <c r="H90" s="2875">
        <v>2564174922</v>
      </c>
      <c r="I90" s="2877"/>
      <c r="J90" s="2447">
        <v>295</v>
      </c>
      <c r="K90" s="368" t="s">
        <v>1937</v>
      </c>
      <c r="L90" s="2680" t="s">
        <v>6991</v>
      </c>
      <c r="M90" s="2681"/>
      <c r="N90" s="2682"/>
      <c r="O90" s="2682"/>
      <c r="P90" s="2682"/>
      <c r="Q90" s="2681"/>
      <c r="R90" s="2681"/>
      <c r="S90" s="2683"/>
    </row>
    <row r="91" spans="2:19" ht="6.6" customHeight="1">
      <c r="H91" s="2453"/>
      <c r="I91" s="2453"/>
      <c r="J91" s="2453"/>
      <c r="K91" s="368"/>
      <c r="L91" s="2453"/>
      <c r="M91" s="2453"/>
      <c r="N91" s="545"/>
      <c r="O91" s="2454"/>
      <c r="P91" s="2454"/>
      <c r="Q91" s="368"/>
      <c r="R91" s="2454"/>
      <c r="S91" s="2454"/>
    </row>
    <row r="92" spans="2:19" s="293" customFormat="1" ht="11.25" customHeight="1">
      <c r="B92" s="295" t="s">
        <v>731</v>
      </c>
      <c r="C92" s="295" t="s">
        <v>283</v>
      </c>
      <c r="F92" s="311"/>
      <c r="H92" s="2696" t="s">
        <v>7013</v>
      </c>
      <c r="I92" s="2879"/>
      <c r="J92" s="2879"/>
      <c r="K92" s="2879"/>
      <c r="L92" s="2879"/>
      <c r="M92" s="2879"/>
      <c r="N92" s="2880"/>
      <c r="O92" s="2445" t="s">
        <v>1942</v>
      </c>
      <c r="P92" s="2445"/>
      <c r="Q92" s="2696" t="s">
        <v>6996</v>
      </c>
      <c r="R92" s="2879"/>
      <c r="S92" s="2880"/>
    </row>
    <row r="93" spans="2:19" s="293" customFormat="1" ht="11.25" customHeight="1">
      <c r="D93" s="331"/>
      <c r="E93" s="2349" t="s">
        <v>999</v>
      </c>
      <c r="F93" s="305"/>
      <c r="H93" s="2696" t="s">
        <v>6988</v>
      </c>
      <c r="I93" s="2879"/>
      <c r="J93" s="2879"/>
      <c r="K93" s="2879"/>
      <c r="L93" s="2879"/>
      <c r="M93" s="2879"/>
      <c r="N93" s="2880"/>
      <c r="O93" s="2445" t="s">
        <v>1704</v>
      </c>
      <c r="P93" s="168"/>
      <c r="Q93" s="2696" t="s">
        <v>7010</v>
      </c>
      <c r="R93" s="2879"/>
      <c r="S93" s="2880"/>
    </row>
    <row r="94" spans="2:19" s="293" customFormat="1" ht="11.25" customHeight="1">
      <c r="D94" s="331"/>
      <c r="E94" s="2349" t="s">
        <v>600</v>
      </c>
      <c r="H94" s="2696" t="s">
        <v>6989</v>
      </c>
      <c r="I94" s="2879"/>
      <c r="J94" s="2880"/>
      <c r="K94" s="368" t="s">
        <v>2625</v>
      </c>
      <c r="L94" s="2696" t="s">
        <v>7008</v>
      </c>
      <c r="M94" s="2879"/>
      <c r="N94" s="2880"/>
      <c r="O94" s="2445" t="s">
        <v>1679</v>
      </c>
      <c r="P94" s="168"/>
      <c r="Q94" s="2875">
        <v>2569976659</v>
      </c>
      <c r="R94" s="2876"/>
      <c r="S94" s="2877"/>
    </row>
    <row r="95" spans="2:19" s="293" customFormat="1" ht="11.25" customHeight="1">
      <c r="D95" s="331"/>
      <c r="E95" s="2349" t="s">
        <v>1754</v>
      </c>
      <c r="H95" s="2420" t="s">
        <v>818</v>
      </c>
      <c r="I95" s="168"/>
      <c r="J95" s="168"/>
      <c r="K95" s="2348" t="s">
        <v>2173</v>
      </c>
      <c r="L95" s="2894">
        <v>359713484</v>
      </c>
      <c r="M95" s="2895"/>
      <c r="N95" s="168"/>
      <c r="O95" s="2445" t="s">
        <v>1932</v>
      </c>
      <c r="P95" s="168"/>
      <c r="Q95" s="2875">
        <v>2569976659</v>
      </c>
      <c r="R95" s="2876"/>
      <c r="S95" s="2877"/>
    </row>
    <row r="96" spans="2:19" s="293" customFormat="1" ht="11.25" customHeight="1">
      <c r="D96" s="331"/>
      <c r="E96" s="2349" t="s">
        <v>3895</v>
      </c>
      <c r="H96" s="2875">
        <v>2564174921</v>
      </c>
      <c r="I96" s="2877"/>
      <c r="J96" s="2447">
        <v>295</v>
      </c>
      <c r="K96" s="368" t="s">
        <v>1937</v>
      </c>
      <c r="L96" s="2680" t="s">
        <v>6991</v>
      </c>
      <c r="M96" s="2681"/>
      <c r="N96" s="2682"/>
      <c r="O96" s="2682"/>
      <c r="P96" s="2682"/>
      <c r="Q96" s="2681"/>
      <c r="R96" s="2681"/>
      <c r="S96" s="2683"/>
    </row>
    <row r="97" spans="2:19" ht="6.6" customHeight="1">
      <c r="H97" s="2453"/>
      <c r="I97" s="2453"/>
      <c r="J97" s="2453"/>
      <c r="K97" s="368"/>
      <c r="L97" s="2453"/>
      <c r="M97" s="2453"/>
      <c r="N97" s="545"/>
      <c r="O97" s="2454"/>
      <c r="P97" s="2454"/>
      <c r="Q97" s="368"/>
      <c r="R97" s="2454"/>
      <c r="S97" s="2454"/>
    </row>
    <row r="98" spans="2:19" s="293" customFormat="1" ht="11.25" customHeight="1">
      <c r="B98" s="295" t="s">
        <v>2065</v>
      </c>
      <c r="C98" s="295" t="s">
        <v>284</v>
      </c>
      <c r="H98" s="2696" t="s">
        <v>7014</v>
      </c>
      <c r="I98" s="2879"/>
      <c r="J98" s="2879"/>
      <c r="K98" s="2879"/>
      <c r="L98" s="2879"/>
      <c r="M98" s="2879"/>
      <c r="N98" s="2880"/>
      <c r="O98" s="2445" t="s">
        <v>1942</v>
      </c>
      <c r="P98" s="2445"/>
      <c r="Q98" s="2696" t="s">
        <v>7015</v>
      </c>
      <c r="R98" s="2879"/>
      <c r="S98" s="2880"/>
    </row>
    <row r="99" spans="2:19" s="293" customFormat="1" ht="11.25" customHeight="1">
      <c r="D99" s="331"/>
      <c r="E99" s="2349" t="s">
        <v>999</v>
      </c>
      <c r="F99" s="305"/>
      <c r="H99" s="2696" t="s">
        <v>7016</v>
      </c>
      <c r="I99" s="2879"/>
      <c r="J99" s="2879"/>
      <c r="K99" s="2879"/>
      <c r="L99" s="2879"/>
      <c r="M99" s="2879"/>
      <c r="N99" s="2880"/>
      <c r="O99" s="2445" t="s">
        <v>1704</v>
      </c>
      <c r="P99" s="168"/>
      <c r="Q99" s="2696" t="s">
        <v>7017</v>
      </c>
      <c r="R99" s="2879"/>
      <c r="S99" s="2880"/>
    </row>
    <row r="100" spans="2:19" s="293" customFormat="1" ht="11.25" customHeight="1">
      <c r="D100" s="331"/>
      <c r="E100" s="2349" t="s">
        <v>600</v>
      </c>
      <c r="H100" s="2696" t="s">
        <v>7000</v>
      </c>
      <c r="I100" s="2879"/>
      <c r="J100" s="2880"/>
      <c r="K100" s="368" t="s">
        <v>2625</v>
      </c>
      <c r="L100" s="2696" t="s">
        <v>7018</v>
      </c>
      <c r="M100" s="2879"/>
      <c r="N100" s="2880"/>
      <c r="O100" s="2445" t="s">
        <v>1679</v>
      </c>
      <c r="P100" s="168"/>
      <c r="Q100" s="2875">
        <v>2052268741</v>
      </c>
      <c r="R100" s="2876"/>
      <c r="S100" s="2877"/>
    </row>
    <row r="101" spans="2:19" s="293" customFormat="1" ht="11.25" customHeight="1">
      <c r="D101" s="331"/>
      <c r="E101" s="2349" t="s">
        <v>1754</v>
      </c>
      <c r="H101" s="2420" t="s">
        <v>818</v>
      </c>
      <c r="I101" s="168"/>
      <c r="J101" s="168"/>
      <c r="K101" s="2348" t="s">
        <v>2173</v>
      </c>
      <c r="L101" s="2894">
        <v>352034642</v>
      </c>
      <c r="M101" s="2895"/>
      <c r="N101" s="168"/>
      <c r="O101" s="2445" t="s">
        <v>1932</v>
      </c>
      <c r="P101" s="168"/>
      <c r="Q101" s="2875">
        <v>2058073855</v>
      </c>
      <c r="R101" s="2876"/>
      <c r="S101" s="2877"/>
    </row>
    <row r="102" spans="2:19" ht="11.25" customHeight="1">
      <c r="E102" s="2349" t="s">
        <v>3895</v>
      </c>
      <c r="F102" s="293"/>
      <c r="G102" s="293"/>
      <c r="H102" s="2875">
        <v>2052268741</v>
      </c>
      <c r="I102" s="2877"/>
      <c r="J102" s="2447"/>
      <c r="K102" s="368" t="s">
        <v>1937</v>
      </c>
      <c r="L102" s="2696" t="s">
        <v>7019</v>
      </c>
      <c r="M102" s="2682"/>
      <c r="N102" s="2682"/>
      <c r="O102" s="2682"/>
      <c r="P102" s="2682"/>
      <c r="Q102" s="2682"/>
      <c r="R102" s="2682"/>
      <c r="S102" s="2697"/>
    </row>
    <row r="103" spans="2:19" ht="6" customHeight="1">
      <c r="E103" s="2349"/>
      <c r="F103" s="293"/>
      <c r="G103" s="2357"/>
      <c r="H103" s="2453"/>
      <c r="I103" s="2453"/>
      <c r="J103" s="2453"/>
      <c r="K103" s="368"/>
      <c r="L103" s="2453"/>
      <c r="M103" s="2453"/>
      <c r="N103" s="545"/>
      <c r="O103" s="2454"/>
      <c r="P103" s="2454"/>
      <c r="Q103" s="368"/>
      <c r="R103" s="2454"/>
      <c r="S103" s="2454"/>
    </row>
    <row r="104" spans="2:19" s="293" customFormat="1" ht="11.25" customHeight="1">
      <c r="B104" s="295" t="s">
        <v>1692</v>
      </c>
      <c r="C104" s="295" t="s">
        <v>285</v>
      </c>
      <c r="H104" s="2696" t="s">
        <v>7020</v>
      </c>
      <c r="I104" s="2879"/>
      <c r="J104" s="2879"/>
      <c r="K104" s="2879"/>
      <c r="L104" s="2879"/>
      <c r="M104" s="2879"/>
      <c r="N104" s="2880"/>
      <c r="O104" s="2445" t="s">
        <v>1942</v>
      </c>
      <c r="P104" s="2445"/>
      <c r="Q104" s="2696" t="s">
        <v>7021</v>
      </c>
      <c r="R104" s="2879"/>
      <c r="S104" s="2880"/>
    </row>
    <row r="105" spans="2:19" s="293" customFormat="1" ht="11.25" customHeight="1">
      <c r="D105" s="331"/>
      <c r="E105" s="2349" t="s">
        <v>999</v>
      </c>
      <c r="F105" s="305"/>
      <c r="H105" s="2696" t="s">
        <v>7022</v>
      </c>
      <c r="I105" s="2879"/>
      <c r="J105" s="2879"/>
      <c r="K105" s="2879"/>
      <c r="L105" s="2879"/>
      <c r="M105" s="2879"/>
      <c r="N105" s="2880"/>
      <c r="O105" s="2445" t="s">
        <v>1704</v>
      </c>
      <c r="P105" s="168"/>
      <c r="Q105" s="2696" t="s">
        <v>7023</v>
      </c>
      <c r="R105" s="2879"/>
      <c r="S105" s="2880"/>
    </row>
    <row r="106" spans="2:19" s="293" customFormat="1" ht="11.25" customHeight="1">
      <c r="D106" s="331"/>
      <c r="E106" s="2349" t="s">
        <v>600</v>
      </c>
      <c r="H106" s="2696" t="s">
        <v>7024</v>
      </c>
      <c r="I106" s="2879"/>
      <c r="J106" s="2880"/>
      <c r="K106" s="368" t="s">
        <v>2625</v>
      </c>
      <c r="L106" s="2698" t="s">
        <v>948</v>
      </c>
      <c r="M106" s="2883"/>
      <c r="N106" s="2792"/>
      <c r="O106" s="2445" t="s">
        <v>1679</v>
      </c>
      <c r="P106" s="168"/>
      <c r="Q106" s="2875">
        <v>2564133057</v>
      </c>
      <c r="R106" s="2876"/>
      <c r="S106" s="2877"/>
    </row>
    <row r="107" spans="2:19" s="293" customFormat="1" ht="11.25" customHeight="1">
      <c r="D107" s="331"/>
      <c r="E107" s="2349" t="s">
        <v>1754</v>
      </c>
      <c r="H107" s="2420" t="s">
        <v>818</v>
      </c>
      <c r="I107" s="168"/>
      <c r="J107" s="168"/>
      <c r="K107" s="2348" t="s">
        <v>2173</v>
      </c>
      <c r="L107" s="2894">
        <v>359063206</v>
      </c>
      <c r="M107" s="2895"/>
      <c r="N107" s="168"/>
      <c r="O107" s="2445" t="s">
        <v>1932</v>
      </c>
      <c r="P107" s="168"/>
      <c r="Q107" s="2875">
        <v>2563905972</v>
      </c>
      <c r="R107" s="2876"/>
      <c r="S107" s="2877"/>
    </row>
    <row r="108" spans="2:19" ht="11.25" customHeight="1">
      <c r="E108" s="2349" t="s">
        <v>3895</v>
      </c>
      <c r="F108" s="293"/>
      <c r="G108" s="293"/>
      <c r="H108" s="2875">
        <v>2564133057</v>
      </c>
      <c r="I108" s="2877"/>
      <c r="J108" s="2447"/>
      <c r="K108" s="368" t="s">
        <v>1937</v>
      </c>
      <c r="L108" s="2696" t="s">
        <v>7025</v>
      </c>
      <c r="M108" s="2682"/>
      <c r="N108" s="2682"/>
      <c r="O108" s="2682"/>
      <c r="P108" s="2682"/>
      <c r="Q108" s="2682"/>
      <c r="R108" s="2682"/>
      <c r="S108" s="2697"/>
    </row>
    <row r="109" spans="2:19" ht="6.6" customHeight="1">
      <c r="E109" s="2349"/>
      <c r="F109" s="293"/>
      <c r="G109" s="2357"/>
      <c r="H109" s="2453"/>
      <c r="I109" s="2453"/>
      <c r="J109" s="2453"/>
      <c r="K109" s="368"/>
      <c r="L109" s="2453"/>
      <c r="M109" s="2453"/>
      <c r="N109" s="545"/>
      <c r="O109" s="2454"/>
      <c r="P109" s="2454"/>
      <c r="Q109" s="368"/>
      <c r="R109" s="2454"/>
      <c r="S109" s="2454"/>
    </row>
    <row r="110" spans="2:19" s="293" customFormat="1" ht="11.25" customHeight="1">
      <c r="B110" s="295" t="s">
        <v>1693</v>
      </c>
      <c r="C110" s="295" t="s">
        <v>286</v>
      </c>
      <c r="H110" s="2696" t="s">
        <v>7026</v>
      </c>
      <c r="I110" s="2879"/>
      <c r="J110" s="2879"/>
      <c r="K110" s="2879"/>
      <c r="L110" s="2879"/>
      <c r="M110" s="2879"/>
      <c r="N110" s="2880"/>
      <c r="O110" s="2445" t="s">
        <v>1942</v>
      </c>
      <c r="P110" s="2445"/>
      <c r="Q110" s="2696" t="s">
        <v>7027</v>
      </c>
      <c r="R110" s="2879"/>
      <c r="S110" s="2880"/>
    </row>
    <row r="111" spans="2:19" s="293" customFormat="1" ht="11.25" customHeight="1">
      <c r="D111" s="331"/>
      <c r="E111" s="2349" t="s">
        <v>999</v>
      </c>
      <c r="F111" s="305"/>
      <c r="H111" s="2696" t="s">
        <v>7028</v>
      </c>
      <c r="I111" s="2879"/>
      <c r="J111" s="2879"/>
      <c r="K111" s="2879"/>
      <c r="L111" s="2879"/>
      <c r="M111" s="2879"/>
      <c r="N111" s="2880"/>
      <c r="O111" s="2445" t="s">
        <v>1704</v>
      </c>
      <c r="P111" s="168"/>
      <c r="Q111" s="2696" t="s">
        <v>7029</v>
      </c>
      <c r="R111" s="2879"/>
      <c r="S111" s="2880"/>
    </row>
    <row r="112" spans="2:19" s="293" customFormat="1" ht="11.25" customHeight="1">
      <c r="D112" s="331"/>
      <c r="E112" s="2349" t="s">
        <v>600</v>
      </c>
      <c r="H112" s="2696" t="s">
        <v>7030</v>
      </c>
      <c r="I112" s="2879"/>
      <c r="J112" s="2880"/>
      <c r="K112" s="368" t="s">
        <v>2625</v>
      </c>
      <c r="L112" s="2696" t="s">
        <v>7031</v>
      </c>
      <c r="M112" s="2879"/>
      <c r="N112" s="2880"/>
      <c r="O112" s="2445" t="s">
        <v>1679</v>
      </c>
      <c r="P112" s="168"/>
      <c r="Q112" s="2875">
        <v>6608267000</v>
      </c>
      <c r="R112" s="2876"/>
      <c r="S112" s="2877"/>
    </row>
    <row r="113" spans="1:22" s="293" customFormat="1" ht="11.25" customHeight="1">
      <c r="D113" s="335"/>
      <c r="E113" s="2349" t="s">
        <v>1754</v>
      </c>
      <c r="H113" s="2420" t="s">
        <v>1314</v>
      </c>
      <c r="I113" s="168"/>
      <c r="J113" s="168"/>
      <c r="K113" s="2348" t="s">
        <v>2173</v>
      </c>
      <c r="L113" s="2894">
        <v>653012479</v>
      </c>
      <c r="M113" s="2895"/>
      <c r="N113" s="168"/>
      <c r="O113" s="2445" t="s">
        <v>1932</v>
      </c>
      <c r="P113" s="168"/>
      <c r="Q113" s="2875">
        <v>6602817041</v>
      </c>
      <c r="R113" s="2876"/>
      <c r="S113" s="2877"/>
    </row>
    <row r="114" spans="1:22" s="293" customFormat="1" ht="11.25" customHeight="1">
      <c r="D114" s="335"/>
      <c r="E114" s="2349" t="s">
        <v>3895</v>
      </c>
      <c r="H114" s="2875">
        <v>6608267000</v>
      </c>
      <c r="I114" s="2877"/>
      <c r="J114" s="2447"/>
      <c r="K114" s="368" t="s">
        <v>1937</v>
      </c>
      <c r="L114" s="2696" t="s">
        <v>7032</v>
      </c>
      <c r="M114" s="2682"/>
      <c r="N114" s="2682"/>
      <c r="O114" s="2682"/>
      <c r="P114" s="2682"/>
      <c r="Q114" s="2682"/>
      <c r="R114" s="2682"/>
      <c r="S114" s="2697"/>
    </row>
    <row r="115" spans="1:22" ht="3" customHeight="1"/>
    <row r="116" spans="1:22" s="293" customFormat="1" ht="12" customHeight="1">
      <c r="A116" s="295" t="s">
        <v>1748</v>
      </c>
      <c r="B116" s="295" t="s">
        <v>2536</v>
      </c>
      <c r="F116" s="295"/>
      <c r="G116" s="2358"/>
      <c r="H116" s="2358"/>
      <c r="I116" s="2358"/>
      <c r="J116" s="2358"/>
      <c r="K116" s="2358"/>
      <c r="L116" s="2358"/>
      <c r="M116" s="2358"/>
      <c r="N116" s="2358"/>
      <c r="O116" s="2358"/>
      <c r="P116" s="2358"/>
      <c r="Q116" s="2352"/>
    </row>
    <row r="117" spans="1:22" s="293" customFormat="1" ht="11.25" customHeight="1">
      <c r="B117" s="295" t="s">
        <v>1936</v>
      </c>
      <c r="C117" s="295" t="s">
        <v>3440</v>
      </c>
      <c r="H117" s="2693" t="s">
        <v>7106</v>
      </c>
      <c r="I117" s="2694"/>
      <c r="J117" s="2695"/>
      <c r="K117" s="368" t="s">
        <v>2410</v>
      </c>
      <c r="L117" s="2693" t="s">
        <v>7107</v>
      </c>
      <c r="M117" s="2881"/>
      <c r="N117" s="2882"/>
      <c r="O117" s="2445" t="s">
        <v>3441</v>
      </c>
      <c r="P117" s="168"/>
      <c r="Q117" s="2691">
        <v>7062441012</v>
      </c>
      <c r="R117" s="2904"/>
      <c r="S117" s="2905"/>
    </row>
    <row r="118" spans="1:22" s="293" customFormat="1" ht="11.25" customHeight="1">
      <c r="D118" s="331"/>
      <c r="E118" s="2349" t="s">
        <v>999</v>
      </c>
      <c r="F118" s="305"/>
      <c r="H118" s="2808" t="s">
        <v>7108</v>
      </c>
      <c r="I118" s="2906"/>
      <c r="J118" s="2907"/>
      <c r="K118" s="2809"/>
      <c r="L118" s="2906"/>
      <c r="M118" s="2906"/>
      <c r="N118" s="2908"/>
      <c r="O118" s="2445" t="s">
        <v>600</v>
      </c>
      <c r="P118" s="168"/>
      <c r="Q118" s="2909" t="s">
        <v>846</v>
      </c>
      <c r="R118" s="2812"/>
      <c r="S118" s="2813"/>
    </row>
    <row r="119" spans="1:22" s="293" customFormat="1" ht="11.25" customHeight="1">
      <c r="D119" s="331"/>
      <c r="E119" s="2349" t="s">
        <v>1754</v>
      </c>
      <c r="H119" s="2457" t="s">
        <v>828</v>
      </c>
      <c r="I119" s="2348" t="s">
        <v>2173</v>
      </c>
      <c r="J119" s="2791">
        <v>306438901</v>
      </c>
      <c r="K119" s="2792"/>
      <c r="L119" s="368" t="s">
        <v>1937</v>
      </c>
      <c r="M119" s="2696" t="s">
        <v>7109</v>
      </c>
      <c r="N119" s="2682"/>
      <c r="O119" s="2682"/>
      <c r="P119" s="2682"/>
      <c r="Q119" s="2681"/>
      <c r="R119" s="2681"/>
      <c r="S119" s="2683"/>
    </row>
    <row r="120" spans="1:22" ht="12" customHeight="1">
      <c r="B120" s="295" t="s">
        <v>1938</v>
      </c>
      <c r="C120" s="295" t="s">
        <v>4433</v>
      </c>
      <c r="H120" s="1479"/>
      <c r="I120" s="1479"/>
      <c r="J120" s="1479"/>
      <c r="K120" s="1479"/>
      <c r="L120" s="1479"/>
      <c r="M120" s="1479"/>
      <c r="N120" s="1479"/>
      <c r="O120" s="1479"/>
      <c r="P120" s="1479"/>
      <c r="Q120" s="1479"/>
      <c r="R120" s="1479"/>
      <c r="S120" s="1479"/>
    </row>
    <row r="121" spans="1:22" ht="11.25" customHeight="1" thickBot="1">
      <c r="A121" s="2896" t="s">
        <v>3657</v>
      </c>
      <c r="B121" s="2896"/>
      <c r="C121" s="2896"/>
      <c r="D121" s="2896"/>
      <c r="E121" s="2897"/>
      <c r="F121" s="2458" t="s">
        <v>2444</v>
      </c>
      <c r="G121" s="2898" t="s">
        <v>3358</v>
      </c>
      <c r="H121" s="2899"/>
      <c r="I121" s="2899"/>
      <c r="J121" s="2899"/>
      <c r="K121" s="2899"/>
      <c r="L121" s="2899"/>
      <c r="M121" s="2899"/>
      <c r="N121" s="2899"/>
      <c r="O121" s="2899"/>
      <c r="P121" s="2899"/>
      <c r="Q121" s="2899"/>
      <c r="R121" s="2899"/>
      <c r="S121" s="2900"/>
    </row>
    <row r="122" spans="1:22" s="293" customFormat="1" ht="25.5" customHeight="1" thickBot="1">
      <c r="B122" s="487"/>
      <c r="C122" s="1042" t="s">
        <v>1939</v>
      </c>
      <c r="D122" s="2901" t="s">
        <v>2738</v>
      </c>
      <c r="E122" s="2901"/>
      <c r="F122" s="2459" t="s">
        <v>2889</v>
      </c>
      <c r="G122" s="2902"/>
      <c r="H122" s="2902"/>
      <c r="I122" s="2902"/>
      <c r="J122" s="2902"/>
      <c r="K122" s="2902"/>
      <c r="L122" s="2902"/>
      <c r="M122" s="2902"/>
      <c r="N122" s="2902"/>
      <c r="O122" s="2902"/>
      <c r="P122" s="2902"/>
      <c r="Q122" s="2902"/>
      <c r="R122" s="2902"/>
      <c r="S122" s="2903"/>
      <c r="U122" s="2870" t="s">
        <v>1984</v>
      </c>
      <c r="V122" s="2870"/>
    </row>
    <row r="123" spans="1:22" s="293" customFormat="1" ht="25.5" customHeight="1" thickBot="1">
      <c r="B123" s="487"/>
      <c r="C123" s="580" t="s">
        <v>1941</v>
      </c>
      <c r="D123" s="2769" t="s">
        <v>2799</v>
      </c>
      <c r="E123" s="2850"/>
      <c r="F123" s="2459" t="s">
        <v>2889</v>
      </c>
      <c r="G123" s="2868"/>
      <c r="H123" s="2868"/>
      <c r="I123" s="2868"/>
      <c r="J123" s="2868"/>
      <c r="K123" s="2868"/>
      <c r="L123" s="2868"/>
      <c r="M123" s="2868"/>
      <c r="N123" s="2868"/>
      <c r="O123" s="2868"/>
      <c r="P123" s="2868"/>
      <c r="Q123" s="2868"/>
      <c r="R123" s="2868"/>
      <c r="S123" s="2869"/>
      <c r="U123" s="2870"/>
      <c r="V123" s="2870"/>
    </row>
    <row r="124" spans="1:22" s="293" customFormat="1" ht="25.5" customHeight="1" thickBot="1">
      <c r="B124" s="487"/>
      <c r="C124" s="580" t="s">
        <v>2468</v>
      </c>
      <c r="D124" s="2769" t="s">
        <v>2778</v>
      </c>
      <c r="E124" s="2850"/>
      <c r="F124" s="2459" t="s">
        <v>2889</v>
      </c>
      <c r="G124" s="2868"/>
      <c r="H124" s="2868"/>
      <c r="I124" s="2868"/>
      <c r="J124" s="2868"/>
      <c r="K124" s="2868"/>
      <c r="L124" s="2868"/>
      <c r="M124" s="2868"/>
      <c r="N124" s="2868"/>
      <c r="O124" s="2868"/>
      <c r="P124" s="2868"/>
      <c r="Q124" s="2868"/>
      <c r="R124" s="2868"/>
      <c r="S124" s="2869"/>
      <c r="U124" s="2870"/>
      <c r="V124" s="2870"/>
    </row>
    <row r="125" spans="1:22" s="293" customFormat="1" ht="25.5" customHeight="1" thickBot="1">
      <c r="B125" s="487"/>
      <c r="C125" s="580" t="s">
        <v>1198</v>
      </c>
      <c r="D125" s="2769" t="s">
        <v>2739</v>
      </c>
      <c r="E125" s="2850"/>
      <c r="F125" s="2459" t="s">
        <v>2889</v>
      </c>
      <c r="G125" s="2868"/>
      <c r="H125" s="2868"/>
      <c r="I125" s="2868"/>
      <c r="J125" s="2868"/>
      <c r="K125" s="2868"/>
      <c r="L125" s="2868"/>
      <c r="M125" s="2868"/>
      <c r="N125" s="2868"/>
      <c r="O125" s="2868"/>
      <c r="P125" s="2868"/>
      <c r="Q125" s="2868"/>
      <c r="R125" s="2868"/>
      <c r="S125" s="2869"/>
      <c r="U125" s="2870"/>
      <c r="V125" s="2870"/>
    </row>
    <row r="126" spans="1:22" s="293" customFormat="1" ht="25.5" customHeight="1" thickBot="1">
      <c r="B126" s="487"/>
      <c r="C126" s="580" t="s">
        <v>1199</v>
      </c>
      <c r="D126" s="2769" t="s">
        <v>3349</v>
      </c>
      <c r="E126" s="2850"/>
      <c r="F126" s="2459" t="s">
        <v>2889</v>
      </c>
      <c r="G126" s="2868"/>
      <c r="H126" s="2868"/>
      <c r="I126" s="2868"/>
      <c r="J126" s="2868"/>
      <c r="K126" s="2868"/>
      <c r="L126" s="2868"/>
      <c r="M126" s="2868"/>
      <c r="N126" s="2868"/>
      <c r="O126" s="2868"/>
      <c r="P126" s="2868"/>
      <c r="Q126" s="2868"/>
      <c r="R126" s="2868"/>
      <c r="S126" s="2869"/>
      <c r="U126" s="2870"/>
      <c r="V126" s="2870"/>
    </row>
    <row r="127" spans="1:22" s="293" customFormat="1" ht="25.5" customHeight="1" thickBot="1">
      <c r="B127" s="487"/>
      <c r="C127" s="580" t="s">
        <v>1834</v>
      </c>
      <c r="D127" s="2769" t="s">
        <v>3350</v>
      </c>
      <c r="E127" s="2850"/>
      <c r="F127" s="2459" t="s">
        <v>2889</v>
      </c>
      <c r="G127" s="2868"/>
      <c r="H127" s="2868"/>
      <c r="I127" s="2868"/>
      <c r="J127" s="2868"/>
      <c r="K127" s="2868"/>
      <c r="L127" s="2868"/>
      <c r="M127" s="2868"/>
      <c r="N127" s="2868"/>
      <c r="O127" s="2868"/>
      <c r="P127" s="2868"/>
      <c r="Q127" s="2868"/>
      <c r="R127" s="2868"/>
      <c r="S127" s="2869"/>
      <c r="U127" s="2870"/>
      <c r="V127" s="2870"/>
    </row>
    <row r="128" spans="1:22" s="293" customFormat="1" ht="25.5" customHeight="1" thickBot="1">
      <c r="B128" s="487"/>
      <c r="C128" s="580" t="s">
        <v>492</v>
      </c>
      <c r="D128" s="2769" t="s">
        <v>2740</v>
      </c>
      <c r="E128" s="2850"/>
      <c r="F128" s="2459" t="s">
        <v>2889</v>
      </c>
      <c r="G128" s="2868"/>
      <c r="H128" s="2868"/>
      <c r="I128" s="2868"/>
      <c r="J128" s="2868"/>
      <c r="K128" s="2868"/>
      <c r="L128" s="2868"/>
      <c r="M128" s="2868"/>
      <c r="N128" s="2868"/>
      <c r="O128" s="2868"/>
      <c r="P128" s="2868"/>
      <c r="Q128" s="2868"/>
      <c r="R128" s="2868"/>
      <c r="S128" s="2869"/>
    </row>
    <row r="129" spans="1:22" s="293" customFormat="1" ht="25.5" customHeight="1" thickBot="1">
      <c r="B129" s="487"/>
      <c r="C129" s="580" t="s">
        <v>493</v>
      </c>
      <c r="D129" s="2769" t="s">
        <v>4447</v>
      </c>
      <c r="E129" s="2850"/>
      <c r="F129" s="2459" t="s">
        <v>2889</v>
      </c>
      <c r="G129" s="2868"/>
      <c r="H129" s="2868"/>
      <c r="I129" s="2868"/>
      <c r="J129" s="2868"/>
      <c r="K129" s="2868"/>
      <c r="L129" s="2868"/>
      <c r="M129" s="2868"/>
      <c r="N129" s="2868"/>
      <c r="O129" s="2868"/>
      <c r="P129" s="2868"/>
      <c r="Q129" s="2868"/>
      <c r="R129" s="2868"/>
      <c r="S129" s="2869"/>
    </row>
    <row r="130" spans="1:22" s="293" customFormat="1" ht="57.75" customHeight="1" thickBot="1">
      <c r="B130" s="487"/>
      <c r="C130" s="580" t="s">
        <v>4446</v>
      </c>
      <c r="D130" s="2922" t="s">
        <v>7162</v>
      </c>
      <c r="E130" s="2923"/>
      <c r="F130" s="2459" t="s">
        <v>2886</v>
      </c>
      <c r="G130" s="2924" t="s">
        <v>7161</v>
      </c>
      <c r="H130" s="2924"/>
      <c r="I130" s="2924"/>
      <c r="J130" s="2924"/>
      <c r="K130" s="2924"/>
      <c r="L130" s="2924"/>
      <c r="M130" s="2924"/>
      <c r="N130" s="2924"/>
      <c r="O130" s="2924"/>
      <c r="P130" s="2924"/>
      <c r="Q130" s="2924"/>
      <c r="R130" s="2924"/>
      <c r="S130" s="2925"/>
    </row>
    <row r="131" spans="1:22" s="293" customFormat="1" ht="13.35" customHeight="1">
      <c r="A131" s="295" t="s">
        <v>1748</v>
      </c>
      <c r="B131" s="295" t="s">
        <v>2747</v>
      </c>
      <c r="F131" s="295"/>
      <c r="G131" s="2358"/>
      <c r="H131" s="2358"/>
      <c r="I131" s="2358"/>
      <c r="J131" s="2358"/>
      <c r="K131" s="2358"/>
      <c r="L131" s="2358"/>
      <c r="M131" s="2358"/>
      <c r="N131" s="2358"/>
      <c r="O131" s="2358"/>
      <c r="P131" s="2358"/>
      <c r="Q131" s="2352"/>
    </row>
    <row r="132" spans="1:22" s="293" customFormat="1" ht="2.25" customHeight="1">
      <c r="A132" s="295"/>
      <c r="B132" s="295"/>
      <c r="F132" s="295"/>
      <c r="G132" s="2358"/>
      <c r="H132" s="2358"/>
      <c r="I132" s="2358"/>
      <c r="J132" s="2358"/>
      <c r="K132" s="2358"/>
      <c r="L132" s="2358"/>
      <c r="M132" s="2358"/>
      <c r="N132" s="2358"/>
      <c r="O132" s="2358"/>
      <c r="P132" s="2358"/>
      <c r="Q132" s="2352"/>
    </row>
    <row r="133" spans="1:22" ht="13.35" customHeight="1">
      <c r="B133" s="295" t="s">
        <v>731</v>
      </c>
      <c r="C133" s="295" t="s">
        <v>4434</v>
      </c>
    </row>
    <row r="134" spans="1:22" s="293" customFormat="1" ht="13.5" customHeight="1">
      <c r="A134" s="2926" t="s">
        <v>622</v>
      </c>
      <c r="B134" s="2901"/>
      <c r="C134" s="2901"/>
      <c r="D134" s="2901"/>
      <c r="E134" s="2930" t="s">
        <v>3334</v>
      </c>
      <c r="F134" s="2931"/>
      <c r="G134" s="2931"/>
      <c r="H134" s="2931"/>
      <c r="I134" s="2932"/>
      <c r="J134" s="2936" t="s">
        <v>3335</v>
      </c>
      <c r="K134" s="2939" t="s">
        <v>2805</v>
      </c>
      <c r="L134" s="2939" t="s">
        <v>2806</v>
      </c>
      <c r="M134" s="2942" t="s">
        <v>3343</v>
      </c>
      <c r="N134" s="2943"/>
      <c r="O134" s="2943"/>
      <c r="P134" s="2943"/>
      <c r="Q134" s="2943"/>
      <c r="R134" s="2943"/>
      <c r="S134" s="2944"/>
    </row>
    <row r="135" spans="1:22" s="293" customFormat="1" ht="13.5" customHeight="1">
      <c r="A135" s="2927"/>
      <c r="B135" s="2850"/>
      <c r="C135" s="2850"/>
      <c r="D135" s="2850"/>
      <c r="E135" s="2933"/>
      <c r="F135" s="2934"/>
      <c r="G135" s="2934"/>
      <c r="H135" s="2934"/>
      <c r="I135" s="2935"/>
      <c r="J135" s="2937"/>
      <c r="K135" s="2940"/>
      <c r="L135" s="2940"/>
      <c r="M135" s="2945"/>
      <c r="N135" s="2946"/>
      <c r="O135" s="2946"/>
      <c r="P135" s="2946"/>
      <c r="Q135" s="2946"/>
      <c r="R135" s="2946"/>
      <c r="S135" s="2947"/>
    </row>
    <row r="136" spans="1:22" s="293" customFormat="1" ht="13.5" customHeight="1">
      <c r="A136" s="2927"/>
      <c r="B136" s="2850"/>
      <c r="C136" s="2850"/>
      <c r="D136" s="2850"/>
      <c r="E136" s="2933"/>
      <c r="F136" s="2934"/>
      <c r="G136" s="2934"/>
      <c r="H136" s="2934"/>
      <c r="I136" s="2935"/>
      <c r="J136" s="2937"/>
      <c r="K136" s="2940"/>
      <c r="L136" s="2940"/>
      <c r="M136" s="2945"/>
      <c r="N136" s="2946"/>
      <c r="O136" s="2946"/>
      <c r="P136" s="2946"/>
      <c r="Q136" s="2946"/>
      <c r="R136" s="2946"/>
      <c r="S136" s="2947"/>
    </row>
    <row r="137" spans="1:22" s="293" customFormat="1" ht="23.25" customHeight="1">
      <c r="A137" s="2927"/>
      <c r="B137" s="2850"/>
      <c r="C137" s="2850"/>
      <c r="D137" s="2850"/>
      <c r="E137" s="2948" t="s">
        <v>3538</v>
      </c>
      <c r="F137" s="2949"/>
      <c r="G137" s="2949"/>
      <c r="H137" s="2950"/>
      <c r="I137" s="581"/>
      <c r="J137" s="2937"/>
      <c r="K137" s="2940"/>
      <c r="L137" s="2940"/>
      <c r="M137" s="2945"/>
      <c r="N137" s="2946"/>
      <c r="O137" s="2946"/>
      <c r="P137" s="2946"/>
      <c r="Q137" s="2946"/>
      <c r="R137" s="2946"/>
      <c r="S137" s="2947"/>
    </row>
    <row r="138" spans="1:22" s="293" customFormat="1" ht="13.5" customHeight="1">
      <c r="A138" s="2928"/>
      <c r="B138" s="2929"/>
      <c r="C138" s="2929"/>
      <c r="D138" s="2929"/>
      <c r="E138" s="2951"/>
      <c r="F138" s="2952"/>
      <c r="G138" s="2952"/>
      <c r="H138" s="2953"/>
      <c r="I138" s="1483" t="s">
        <v>2444</v>
      </c>
      <c r="J138" s="2938"/>
      <c r="K138" s="2941"/>
      <c r="L138" s="2940"/>
      <c r="M138" s="1484" t="s">
        <v>2444</v>
      </c>
      <c r="N138" s="2721" t="s">
        <v>2804</v>
      </c>
      <c r="O138" s="2721"/>
      <c r="P138" s="2721"/>
      <c r="Q138" s="2721"/>
      <c r="R138" s="2721"/>
      <c r="S138" s="2954"/>
    </row>
    <row r="139" spans="1:22" s="293" customFormat="1" ht="24" customHeight="1">
      <c r="A139" s="2910" t="s">
        <v>3329</v>
      </c>
      <c r="B139" s="2911"/>
      <c r="C139" s="2911"/>
      <c r="D139" s="2912"/>
      <c r="E139" s="2913"/>
      <c r="F139" s="2914"/>
      <c r="G139" s="2914"/>
      <c r="H139" s="2914"/>
      <c r="I139" s="2460" t="s">
        <v>2889</v>
      </c>
      <c r="J139" s="2461" t="s">
        <v>2889</v>
      </c>
      <c r="K139" s="2461" t="s">
        <v>6999</v>
      </c>
      <c r="L139" s="2462">
        <v>9.0000000000000006E-5</v>
      </c>
      <c r="M139" s="2463" t="s">
        <v>2889</v>
      </c>
      <c r="N139" s="2915"/>
      <c r="O139" s="2914"/>
      <c r="P139" s="2914"/>
      <c r="Q139" s="2914"/>
      <c r="R139" s="2914"/>
      <c r="S139" s="2916"/>
    </row>
    <row r="140" spans="1:22" s="293" customFormat="1" ht="24" customHeight="1">
      <c r="A140" s="2917" t="s">
        <v>3330</v>
      </c>
      <c r="B140" s="2918"/>
      <c r="C140" s="2918"/>
      <c r="D140" s="2919"/>
      <c r="E140" s="2920"/>
      <c r="F140" s="2868"/>
      <c r="G140" s="2868"/>
      <c r="H140" s="2868"/>
      <c r="I140" s="2464"/>
      <c r="J140" s="2465"/>
      <c r="K140" s="2465"/>
      <c r="L140" s="2466"/>
      <c r="M140" s="2467"/>
      <c r="N140" s="2921"/>
      <c r="O140" s="2868"/>
      <c r="P140" s="2868"/>
      <c r="Q140" s="2868"/>
      <c r="R140" s="2868"/>
      <c r="S140" s="2869"/>
      <c r="U140" s="2870" t="s">
        <v>1984</v>
      </c>
      <c r="V140" s="2870"/>
    </row>
    <row r="141" spans="1:22" s="293" customFormat="1" ht="24" customHeight="1">
      <c r="A141" s="2917" t="s">
        <v>3331</v>
      </c>
      <c r="B141" s="2918"/>
      <c r="C141" s="2918"/>
      <c r="D141" s="2919"/>
      <c r="E141" s="2920"/>
      <c r="F141" s="2868"/>
      <c r="G141" s="2868"/>
      <c r="H141" s="2868"/>
      <c r="I141" s="2464"/>
      <c r="J141" s="2465"/>
      <c r="K141" s="2465"/>
      <c r="L141" s="2466"/>
      <c r="M141" s="2467"/>
      <c r="N141" s="2921"/>
      <c r="O141" s="2868"/>
      <c r="P141" s="2868"/>
      <c r="Q141" s="2868"/>
      <c r="R141" s="2868"/>
      <c r="S141" s="2869"/>
      <c r="U141" s="2870"/>
      <c r="V141" s="2870"/>
    </row>
    <row r="142" spans="1:22" s="293" customFormat="1" ht="24" customHeight="1">
      <c r="A142" s="2917" t="s">
        <v>3332</v>
      </c>
      <c r="B142" s="2918"/>
      <c r="C142" s="2918"/>
      <c r="D142" s="2919"/>
      <c r="E142" s="2920"/>
      <c r="F142" s="2868"/>
      <c r="G142" s="2868"/>
      <c r="H142" s="2868"/>
      <c r="I142" s="2464" t="s">
        <v>2889</v>
      </c>
      <c r="J142" s="2465" t="s">
        <v>2889</v>
      </c>
      <c r="K142" s="2465" t="s">
        <v>6999</v>
      </c>
      <c r="L142" s="2466">
        <v>0.98990999999999996</v>
      </c>
      <c r="M142" s="2467" t="s">
        <v>2889</v>
      </c>
      <c r="N142" s="2921"/>
      <c r="O142" s="2868"/>
      <c r="P142" s="2868"/>
      <c r="Q142" s="2868"/>
      <c r="R142" s="2868"/>
      <c r="S142" s="2869"/>
      <c r="U142" s="2870"/>
      <c r="V142" s="2870"/>
    </row>
    <row r="143" spans="1:22" s="293" customFormat="1" ht="24" customHeight="1">
      <c r="A143" s="2917" t="s">
        <v>3333</v>
      </c>
      <c r="B143" s="2918"/>
      <c r="C143" s="2918"/>
      <c r="D143" s="2919"/>
      <c r="E143" s="2920"/>
      <c r="F143" s="2868"/>
      <c r="G143" s="2868"/>
      <c r="H143" s="2868"/>
      <c r="I143" s="2464" t="s">
        <v>2889</v>
      </c>
      <c r="J143" s="2465" t="s">
        <v>2889</v>
      </c>
      <c r="K143" s="2465" t="s">
        <v>6999</v>
      </c>
      <c r="L143" s="2466">
        <v>0.01</v>
      </c>
      <c r="M143" s="2467" t="s">
        <v>2889</v>
      </c>
      <c r="N143" s="2921"/>
      <c r="O143" s="2868"/>
      <c r="P143" s="2868"/>
      <c r="Q143" s="2868"/>
      <c r="R143" s="2868"/>
      <c r="S143" s="2869"/>
      <c r="U143" s="2870"/>
      <c r="V143" s="2870"/>
    </row>
    <row r="144" spans="1:22" s="293" customFormat="1" ht="24" customHeight="1">
      <c r="A144" s="2917" t="s">
        <v>2793</v>
      </c>
      <c r="B144" s="2918"/>
      <c r="C144" s="2918"/>
      <c r="D144" s="2919"/>
      <c r="E144" s="2920"/>
      <c r="F144" s="2868"/>
      <c r="G144" s="2868"/>
      <c r="H144" s="2868"/>
      <c r="I144" s="2464" t="s">
        <v>2889</v>
      </c>
      <c r="J144" s="2465" t="s">
        <v>2889</v>
      </c>
      <c r="K144" s="2465" t="s">
        <v>2533</v>
      </c>
      <c r="L144" s="2466">
        <v>0</v>
      </c>
      <c r="M144" s="2467" t="s">
        <v>2889</v>
      </c>
      <c r="N144" s="2921"/>
      <c r="O144" s="2868"/>
      <c r="P144" s="2868"/>
      <c r="Q144" s="2868"/>
      <c r="R144" s="2868"/>
      <c r="S144" s="2869"/>
      <c r="U144" s="2870"/>
      <c r="V144" s="2870"/>
    </row>
    <row r="145" spans="1:24" s="293" customFormat="1" ht="24" customHeight="1">
      <c r="A145" s="2917" t="s">
        <v>635</v>
      </c>
      <c r="B145" s="2918"/>
      <c r="C145" s="2918"/>
      <c r="D145" s="2919"/>
      <c r="E145" s="2920"/>
      <c r="F145" s="2868"/>
      <c r="G145" s="2868"/>
      <c r="H145" s="2868"/>
      <c r="I145" s="2464" t="s">
        <v>2889</v>
      </c>
      <c r="J145" s="2465" t="s">
        <v>2889</v>
      </c>
      <c r="K145" s="2465" t="s">
        <v>6999</v>
      </c>
      <c r="L145" s="2466">
        <v>0</v>
      </c>
      <c r="M145" s="2467" t="s">
        <v>2889</v>
      </c>
      <c r="N145" s="2921"/>
      <c r="O145" s="2868"/>
      <c r="P145" s="2868"/>
      <c r="Q145" s="2868"/>
      <c r="R145" s="2868"/>
      <c r="S145" s="2869"/>
      <c r="U145" s="2870"/>
      <c r="V145" s="2870"/>
    </row>
    <row r="146" spans="1:24" s="293" customFormat="1" ht="24" customHeight="1">
      <c r="A146" s="2917" t="s">
        <v>2794</v>
      </c>
      <c r="B146" s="2918"/>
      <c r="C146" s="2918"/>
      <c r="D146" s="2919"/>
      <c r="E146" s="2920"/>
      <c r="F146" s="2868"/>
      <c r="G146" s="2868"/>
      <c r="H146" s="2868"/>
      <c r="I146" s="2464"/>
      <c r="J146" s="2465"/>
      <c r="K146" s="2465"/>
      <c r="L146" s="2466"/>
      <c r="M146" s="2467"/>
      <c r="N146" s="2921"/>
      <c r="O146" s="2868"/>
      <c r="P146" s="2868"/>
      <c r="Q146" s="2868"/>
      <c r="R146" s="2868"/>
      <c r="S146" s="2869"/>
    </row>
    <row r="147" spans="1:24" s="293" customFormat="1" ht="24" customHeight="1">
      <c r="A147" s="2917" t="s">
        <v>2795</v>
      </c>
      <c r="B147" s="2918"/>
      <c r="C147" s="2918"/>
      <c r="D147" s="2919"/>
      <c r="E147" s="2920"/>
      <c r="F147" s="2868"/>
      <c r="G147" s="2868"/>
      <c r="H147" s="2868"/>
      <c r="I147" s="2464"/>
      <c r="J147" s="2465"/>
      <c r="K147" s="2465"/>
      <c r="L147" s="2466"/>
      <c r="M147" s="2467"/>
      <c r="N147" s="2921"/>
      <c r="O147" s="2868"/>
      <c r="P147" s="2868"/>
      <c r="Q147" s="2868"/>
      <c r="R147" s="2868"/>
      <c r="S147" s="2869"/>
    </row>
    <row r="148" spans="1:24" s="293" customFormat="1" ht="24" customHeight="1">
      <c r="A148" s="2917" t="s">
        <v>2797</v>
      </c>
      <c r="B148" s="2918"/>
      <c r="C148" s="2918"/>
      <c r="D148" s="2919"/>
      <c r="E148" s="2920"/>
      <c r="F148" s="2868"/>
      <c r="G148" s="2868"/>
      <c r="H148" s="2868"/>
      <c r="I148" s="2464"/>
      <c r="J148" s="2465"/>
      <c r="K148" s="2465"/>
      <c r="L148" s="2466"/>
      <c r="M148" s="2467"/>
      <c r="N148" s="2921"/>
      <c r="O148" s="2868"/>
      <c r="P148" s="2868"/>
      <c r="Q148" s="2868"/>
      <c r="R148" s="2868"/>
      <c r="S148" s="2869"/>
    </row>
    <row r="149" spans="1:24" s="293" customFormat="1" ht="24" customHeight="1">
      <c r="A149" s="2917" t="s">
        <v>2796</v>
      </c>
      <c r="B149" s="2918"/>
      <c r="C149" s="2918"/>
      <c r="D149" s="2919"/>
      <c r="E149" s="2920"/>
      <c r="F149" s="2868"/>
      <c r="G149" s="2868"/>
      <c r="H149" s="2868"/>
      <c r="I149" s="2464" t="s">
        <v>2889</v>
      </c>
      <c r="J149" s="2465" t="s">
        <v>2889</v>
      </c>
      <c r="K149" s="2465" t="s">
        <v>6999</v>
      </c>
      <c r="L149" s="2466">
        <v>0</v>
      </c>
      <c r="M149" s="2467" t="s">
        <v>2889</v>
      </c>
      <c r="N149" s="2921"/>
      <c r="O149" s="2868"/>
      <c r="P149" s="2868"/>
      <c r="Q149" s="2868"/>
      <c r="R149" s="2868"/>
      <c r="S149" s="2869"/>
    </row>
    <row r="150" spans="1:24" s="293" customFormat="1" ht="24" customHeight="1">
      <c r="A150" s="2917" t="s">
        <v>1497</v>
      </c>
      <c r="B150" s="2918"/>
      <c r="C150" s="2918"/>
      <c r="D150" s="2919"/>
      <c r="E150" s="2920"/>
      <c r="F150" s="2868"/>
      <c r="G150" s="2868"/>
      <c r="H150" s="2868"/>
      <c r="I150" s="2464" t="s">
        <v>2889</v>
      </c>
      <c r="J150" s="2465" t="s">
        <v>2889</v>
      </c>
      <c r="K150" s="2465" t="s">
        <v>6999</v>
      </c>
      <c r="L150" s="2466">
        <v>0</v>
      </c>
      <c r="M150" s="2467" t="s">
        <v>2889</v>
      </c>
      <c r="N150" s="2921"/>
      <c r="O150" s="2868"/>
      <c r="P150" s="2868"/>
      <c r="Q150" s="2868"/>
      <c r="R150" s="2868"/>
      <c r="S150" s="2869"/>
    </row>
    <row r="151" spans="1:24" s="293" customFormat="1" ht="24" customHeight="1">
      <c r="A151" s="2955" t="s">
        <v>2798</v>
      </c>
      <c r="B151" s="2956"/>
      <c r="C151" s="2956"/>
      <c r="D151" s="2957"/>
      <c r="E151" s="2958"/>
      <c r="F151" s="2924"/>
      <c r="G151" s="2924"/>
      <c r="H151" s="2924"/>
      <c r="I151" s="2468" t="s">
        <v>2889</v>
      </c>
      <c r="J151" s="2469" t="s">
        <v>2889</v>
      </c>
      <c r="K151" s="2469" t="s">
        <v>6999</v>
      </c>
      <c r="L151" s="2470">
        <v>0</v>
      </c>
      <c r="M151" s="2471" t="s">
        <v>2889</v>
      </c>
      <c r="N151" s="2959"/>
      <c r="O151" s="2924"/>
      <c r="P151" s="2924"/>
      <c r="Q151" s="2924"/>
      <c r="R151" s="2924"/>
      <c r="S151" s="2925"/>
    </row>
    <row r="152" spans="1:24" s="2357" customFormat="1" ht="12" customHeight="1">
      <c r="G152" s="303"/>
      <c r="H152" s="303"/>
      <c r="I152" s="303"/>
      <c r="J152" s="2358"/>
      <c r="K152" s="318" t="s">
        <v>524</v>
      </c>
      <c r="L152" s="523">
        <f>SUM(L139:L151)</f>
        <v>1</v>
      </c>
      <c r="M152" s="2358"/>
      <c r="P152" s="301"/>
    </row>
    <row r="153" spans="1:24" ht="11.25" customHeight="1">
      <c r="A153" s="319" t="s">
        <v>516</v>
      </c>
      <c r="B153" s="330"/>
      <c r="C153" s="319" t="s">
        <v>555</v>
      </c>
      <c r="N153" s="319" t="s">
        <v>516</v>
      </c>
      <c r="O153" s="319" t="s">
        <v>77</v>
      </c>
    </row>
    <row r="154" spans="1:24" ht="98.25" customHeight="1">
      <c r="A154" s="2838" t="s">
        <v>7163</v>
      </c>
      <c r="B154" s="2839"/>
      <c r="C154" s="2839"/>
      <c r="D154" s="2839"/>
      <c r="E154" s="2839"/>
      <c r="F154" s="2839"/>
      <c r="G154" s="2839"/>
      <c r="H154" s="2839"/>
      <c r="I154" s="2839"/>
      <c r="J154" s="2839"/>
      <c r="K154" s="2839"/>
      <c r="L154" s="2839"/>
      <c r="M154" s="2840"/>
      <c r="N154" s="2960"/>
      <c r="O154" s="2961"/>
      <c r="P154" s="2961"/>
      <c r="Q154" s="2961"/>
      <c r="R154" s="2961"/>
      <c r="S154" s="2962"/>
      <c r="T154" s="2679" t="s">
        <v>2614</v>
      </c>
      <c r="U154" s="2679"/>
      <c r="V154" s="2679"/>
      <c r="W154" s="2679"/>
      <c r="X154" s="2679"/>
    </row>
    <row r="155" spans="1:24" s="293" customFormat="1" ht="12" customHeight="1">
      <c r="A155" s="298"/>
      <c r="B155" s="311"/>
      <c r="C155" s="311"/>
      <c r="D155" s="311"/>
      <c r="E155" s="311"/>
      <c r="F155" s="311"/>
      <c r="G155" s="311"/>
      <c r="H155" s="311"/>
      <c r="I155" s="311"/>
      <c r="J155" s="311"/>
      <c r="K155" s="311"/>
      <c r="L155" s="311"/>
      <c r="M155" s="311"/>
      <c r="N155" s="311"/>
      <c r="O155" s="311"/>
      <c r="T155" s="2679"/>
      <c r="U155" s="2679"/>
      <c r="V155" s="2679"/>
      <c r="W155" s="2679"/>
      <c r="X155" s="2679"/>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2"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3" t="s">
        <v>818</v>
      </c>
    </row>
    <row r="161" spans="1:16" s="293" customFormat="1" ht="12" customHeight="1">
      <c r="A161" s="331"/>
      <c r="B161" s="311"/>
      <c r="C161" s="311"/>
      <c r="D161" s="311"/>
      <c r="E161" s="311"/>
      <c r="F161" s="311"/>
      <c r="G161" s="311"/>
      <c r="H161" s="311"/>
      <c r="I161" s="311"/>
      <c r="J161" s="311"/>
      <c r="K161" s="311"/>
      <c r="L161" s="311"/>
      <c r="M161" s="311"/>
      <c r="N161" s="311"/>
      <c r="O161" s="311"/>
      <c r="P161" s="2473" t="s">
        <v>819</v>
      </c>
    </row>
    <row r="162" spans="1:16" s="293" customFormat="1" ht="12" customHeight="1">
      <c r="A162" s="331"/>
      <c r="B162" s="311"/>
      <c r="C162" s="311"/>
      <c r="D162" s="311"/>
      <c r="E162" s="311"/>
      <c r="F162" s="311"/>
      <c r="G162" s="311"/>
      <c r="H162" s="311"/>
      <c r="I162" s="311"/>
      <c r="J162" s="311"/>
      <c r="K162" s="311"/>
      <c r="L162" s="311"/>
      <c r="M162" s="311"/>
      <c r="N162" s="311"/>
      <c r="O162" s="311"/>
      <c r="P162" s="2473" t="s">
        <v>820</v>
      </c>
    </row>
    <row r="163" spans="1:16" s="293" customFormat="1" ht="12" customHeight="1">
      <c r="A163" s="471"/>
      <c r="B163" s="311"/>
      <c r="C163" s="311"/>
      <c r="D163" s="311"/>
      <c r="E163" s="311"/>
      <c r="F163" s="311"/>
      <c r="G163" s="311"/>
      <c r="H163" s="311"/>
      <c r="I163" s="311"/>
      <c r="J163" s="311"/>
      <c r="K163" s="311"/>
      <c r="L163" s="311"/>
      <c r="M163" s="311"/>
      <c r="N163" s="311"/>
      <c r="O163" s="311"/>
      <c r="P163" s="2473" t="s">
        <v>821</v>
      </c>
    </row>
    <row r="164" spans="1:16" s="293" customFormat="1" ht="12" customHeight="1">
      <c r="B164" s="311"/>
      <c r="C164" s="311"/>
      <c r="D164" s="311"/>
      <c r="E164" s="311"/>
      <c r="F164" s="311"/>
      <c r="G164" s="311"/>
      <c r="H164" s="311"/>
      <c r="I164" s="311"/>
      <c r="J164" s="311"/>
      <c r="K164" s="311"/>
      <c r="L164" s="311"/>
      <c r="M164" s="311"/>
      <c r="N164" s="311"/>
      <c r="O164" s="311"/>
      <c r="P164" s="2473" t="s">
        <v>822</v>
      </c>
    </row>
    <row r="165" spans="1:16" s="293" customFormat="1" ht="12" customHeight="1">
      <c r="B165" s="311"/>
      <c r="C165" s="311"/>
      <c r="D165" s="311"/>
      <c r="E165" s="311"/>
      <c r="F165" s="311"/>
      <c r="G165" s="311"/>
      <c r="H165" s="311"/>
      <c r="I165" s="311"/>
      <c r="J165" s="311"/>
      <c r="K165" s="311"/>
      <c r="L165" s="311"/>
      <c r="M165" s="311"/>
      <c r="N165" s="311"/>
      <c r="O165" s="311"/>
      <c r="P165" s="2473" t="s">
        <v>823</v>
      </c>
    </row>
    <row r="166" spans="1:16" s="293" customFormat="1" ht="12" customHeight="1">
      <c r="B166" s="311"/>
      <c r="C166" s="311"/>
      <c r="D166" s="311"/>
      <c r="E166" s="311"/>
      <c r="F166" s="311"/>
      <c r="G166" s="311"/>
      <c r="H166" s="311"/>
      <c r="I166" s="311"/>
      <c r="J166" s="311"/>
      <c r="K166" s="311"/>
      <c r="L166" s="311"/>
      <c r="M166" s="311"/>
      <c r="N166" s="311"/>
      <c r="O166" s="311"/>
      <c r="P166" s="2473" t="s">
        <v>824</v>
      </c>
    </row>
    <row r="167" spans="1:16" s="293" customFormat="1" ht="12" customHeight="1">
      <c r="B167" s="311"/>
      <c r="C167" s="311"/>
      <c r="D167" s="311"/>
      <c r="E167" s="311"/>
      <c r="F167" s="311"/>
      <c r="G167" s="311"/>
      <c r="H167" s="311"/>
      <c r="I167" s="311"/>
      <c r="J167" s="311"/>
      <c r="K167" s="311"/>
      <c r="L167" s="311"/>
      <c r="M167" s="311"/>
      <c r="N167" s="311"/>
      <c r="O167" s="311"/>
      <c r="P167" s="2473" t="s">
        <v>825</v>
      </c>
    </row>
    <row r="168" spans="1:16" ht="12" customHeight="1">
      <c r="P168" s="2473" t="s">
        <v>826</v>
      </c>
    </row>
    <row r="169" spans="1:16" ht="12" customHeight="1">
      <c r="A169" s="319"/>
      <c r="P169" s="2473" t="s">
        <v>827</v>
      </c>
    </row>
    <row r="170" spans="1:16" ht="12" customHeight="1">
      <c r="P170" s="2473" t="s">
        <v>828</v>
      </c>
    </row>
    <row r="171" spans="1:16" ht="12" customHeight="1">
      <c r="P171" s="2473" t="s">
        <v>829</v>
      </c>
    </row>
    <row r="172" spans="1:16" ht="12" customHeight="1">
      <c r="P172" s="2473" t="s">
        <v>830</v>
      </c>
    </row>
    <row r="173" spans="1:16" ht="12" customHeight="1">
      <c r="P173" s="2473" t="s">
        <v>831</v>
      </c>
    </row>
    <row r="174" spans="1:16" ht="12" customHeight="1">
      <c r="P174" s="2473" t="s">
        <v>832</v>
      </c>
    </row>
    <row r="175" spans="1:16" ht="12" customHeight="1">
      <c r="P175" s="2473" t="s">
        <v>833</v>
      </c>
    </row>
    <row r="176" spans="1:16" ht="12" customHeight="1">
      <c r="P176" s="2473" t="s">
        <v>834</v>
      </c>
    </row>
    <row r="177" spans="16:16" ht="12" customHeight="1">
      <c r="P177" s="2473" t="s">
        <v>835</v>
      </c>
    </row>
    <row r="178" spans="16:16" ht="12" customHeight="1">
      <c r="P178" s="2473" t="s">
        <v>836</v>
      </c>
    </row>
    <row r="179" spans="16:16" ht="12" customHeight="1">
      <c r="P179" s="2473" t="s">
        <v>837</v>
      </c>
    </row>
    <row r="180" spans="16:16" ht="12" customHeight="1">
      <c r="P180" s="2473" t="s">
        <v>838</v>
      </c>
    </row>
    <row r="181" spans="16:16" ht="12" customHeight="1">
      <c r="P181" s="2473" t="s">
        <v>839</v>
      </c>
    </row>
    <row r="182" spans="16:16" ht="12" customHeight="1">
      <c r="P182" s="2473" t="s">
        <v>840</v>
      </c>
    </row>
    <row r="183" spans="16:16" ht="12" customHeight="1">
      <c r="P183" s="2473" t="s">
        <v>841</v>
      </c>
    </row>
    <row r="184" spans="16:16" ht="12" customHeight="1">
      <c r="P184" s="2473" t="s">
        <v>842</v>
      </c>
    </row>
    <row r="185" spans="16:16" ht="12" customHeight="1">
      <c r="P185" s="2473" t="s">
        <v>1314</v>
      </c>
    </row>
    <row r="186" spans="16:16" ht="12" customHeight="1">
      <c r="P186" s="2473" t="s">
        <v>1315</v>
      </c>
    </row>
    <row r="187" spans="16:16" ht="12" customHeight="1">
      <c r="P187" s="2473" t="s">
        <v>1316</v>
      </c>
    </row>
    <row r="188" spans="16:16" ht="12" customHeight="1">
      <c r="P188" s="2473" t="s">
        <v>1317</v>
      </c>
    </row>
    <row r="189" spans="16:16" ht="12" customHeight="1">
      <c r="P189" s="2473" t="s">
        <v>1318</v>
      </c>
    </row>
    <row r="190" spans="16:16">
      <c r="P190" s="2473" t="s">
        <v>1319</v>
      </c>
    </row>
    <row r="191" spans="16:16" ht="12" customHeight="1">
      <c r="P191" s="2473" t="s">
        <v>1320</v>
      </c>
    </row>
    <row r="192" spans="16:16" ht="12" customHeight="1">
      <c r="P192" s="2473" t="s">
        <v>1321</v>
      </c>
    </row>
    <row r="193" spans="16:16" ht="12" customHeight="1">
      <c r="P193" s="2473" t="s">
        <v>1322</v>
      </c>
    </row>
    <row r="194" spans="16:16" ht="12" customHeight="1">
      <c r="P194" s="2473" t="s">
        <v>1323</v>
      </c>
    </row>
    <row r="195" spans="16:16" ht="12" customHeight="1">
      <c r="P195" s="2473" t="s">
        <v>1324</v>
      </c>
    </row>
    <row r="196" spans="16:16" ht="12" customHeight="1">
      <c r="P196" s="2473" t="s">
        <v>1325</v>
      </c>
    </row>
    <row r="197" spans="16:16" ht="12" customHeight="1">
      <c r="P197" s="2473" t="s">
        <v>1326</v>
      </c>
    </row>
    <row r="198" spans="16:16" ht="12" customHeight="1">
      <c r="P198" s="2473" t="s">
        <v>1327</v>
      </c>
    </row>
    <row r="199" spans="16:16" ht="12" customHeight="1">
      <c r="P199" s="2473" t="s">
        <v>1328</v>
      </c>
    </row>
    <row r="200" spans="16:16" ht="12" customHeight="1">
      <c r="P200" s="2473" t="s">
        <v>1329</v>
      </c>
    </row>
    <row r="201" spans="16:16" ht="12" customHeight="1">
      <c r="P201" s="2473" t="s">
        <v>1330</v>
      </c>
    </row>
    <row r="202" spans="16:16" ht="12" customHeight="1">
      <c r="P202" s="2473" t="s">
        <v>1331</v>
      </c>
    </row>
    <row r="203" spans="16:16" ht="12" customHeight="1">
      <c r="P203" s="2473" t="s">
        <v>1332</v>
      </c>
    </row>
    <row r="204" spans="16:16" ht="12" customHeight="1">
      <c r="P204" s="2473" t="s">
        <v>1333</v>
      </c>
    </row>
    <row r="205" spans="16:16" ht="12" customHeight="1">
      <c r="P205" s="2473" t="s">
        <v>1334</v>
      </c>
    </row>
    <row r="206" spans="16:16" ht="12" customHeight="1">
      <c r="P206" s="2473" t="s">
        <v>1335</v>
      </c>
    </row>
    <row r="207" spans="16:16" ht="12" customHeight="1">
      <c r="P207" s="2473" t="s">
        <v>1336</v>
      </c>
    </row>
    <row r="208" spans="16:16" ht="12" customHeight="1">
      <c r="P208" s="2473" t="s">
        <v>1337</v>
      </c>
    </row>
    <row r="209" spans="16:16" ht="12" customHeight="1">
      <c r="P209" s="2473" t="s">
        <v>1338</v>
      </c>
    </row>
    <row r="210" spans="16:16" ht="12" customHeight="1">
      <c r="P210" s="2473" t="s">
        <v>1339</v>
      </c>
    </row>
  </sheetData>
  <sheetProtection algorithmName="SHA-512" hashValue="2HBN/6WSkITTzNVigv249u7LA2biFngHnCYi/vGXmoNJa+ANspmRrNQIwhSKTNOAI2hCvkaG7fcuHenwsFAkHA==" saltValue="2kIOnJ3VATGQp56nZnyR2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86" t="str">
        <f>CONCATENATE("PART THREE - SOURCES OF FUNDS","  -  ",'Part I-Project Information'!$O$6," ",'Part I-Project Information'!$F$34,", ",'Part I-Project Information'!$F$38,", ",'Part I-Project Information'!$J$39," County")</f>
        <v>PART THREE - SOURCES OF FUNDS  -  2020-091 The Pointe at St. Martin, Hartwell, Hart County</v>
      </c>
      <c r="B1" s="2887"/>
      <c r="C1" s="2887"/>
      <c r="D1" s="2887"/>
      <c r="E1" s="2887"/>
      <c r="F1" s="2887"/>
      <c r="G1" s="2887"/>
      <c r="H1" s="2887"/>
      <c r="I1" s="2887"/>
      <c r="J1" s="2887"/>
      <c r="K1" s="2887"/>
      <c r="L1" s="2887"/>
      <c r="M1" s="2887"/>
      <c r="N1" s="2887"/>
      <c r="O1" s="2887"/>
      <c r="P1" s="2887"/>
      <c r="Q1" s="2888"/>
      <c r="S1" s="2974" t="str">
        <f>$A$1</f>
        <v>PART THREE - SOURCES OF FUNDS  -  2020-091 The Pointe at St. Martin, Hartwell, Hart County</v>
      </c>
      <c r="T1" s="2974"/>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7"/>
      <c r="E3" s="2357"/>
      <c r="F3" s="2357"/>
      <c r="G3" s="2357"/>
      <c r="L3" s="2994" t="str">
        <f>'Part I-Project Information'!$B$6</f>
        <v>May 26, 2020 Version</v>
      </c>
      <c r="M3" s="2995"/>
      <c r="N3" s="2995"/>
      <c r="O3" s="2995"/>
      <c r="P3" s="2996"/>
      <c r="S3" s="338" t="str">
        <f>B3</f>
        <v>GOVERNMENT FUNDING SOURCES  (check all that apply)</v>
      </c>
    </row>
    <row r="4" spans="1:20" s="268" customFormat="1" ht="15.75" customHeight="1">
      <c r="A4" s="319"/>
      <c r="B4" s="471"/>
      <c r="C4" s="314"/>
      <c r="D4" s="2357"/>
      <c r="E4" s="2357"/>
      <c r="F4" s="2357"/>
      <c r="G4" s="2357"/>
      <c r="S4" s="2975" t="s">
        <v>2607</v>
      </c>
      <c r="T4" s="2975"/>
    </row>
    <row r="5" spans="1:20" s="268" customFormat="1" ht="16.5" customHeight="1">
      <c r="A5" s="471"/>
      <c r="B5" s="2434" t="s">
        <v>2886</v>
      </c>
      <c r="C5" s="2346" t="s">
        <v>2348</v>
      </c>
      <c r="D5" s="293"/>
      <c r="E5" s="2434" t="s">
        <v>2889</v>
      </c>
      <c r="F5" s="2346" t="s">
        <v>3541</v>
      </c>
      <c r="G5" s="293"/>
      <c r="H5" s="2987"/>
      <c r="I5" s="2988"/>
      <c r="L5" s="2434" t="s">
        <v>2889</v>
      </c>
      <c r="M5" s="2346" t="s">
        <v>1504</v>
      </c>
      <c r="O5" s="2406" t="s">
        <v>2889</v>
      </c>
      <c r="P5" s="3073" t="s">
        <v>4488</v>
      </c>
      <c r="Q5" s="3073"/>
      <c r="S5" s="2976"/>
      <c r="T5" s="2977"/>
    </row>
    <row r="6" spans="1:20" s="268" customFormat="1" ht="16.5" customHeight="1">
      <c r="A6" s="471"/>
      <c r="B6" s="2407" t="s">
        <v>2889</v>
      </c>
      <c r="C6" s="2346" t="s">
        <v>4428</v>
      </c>
      <c r="D6" s="293"/>
      <c r="E6" s="2419" t="s">
        <v>2889</v>
      </c>
      <c r="F6" s="2346" t="s">
        <v>3542</v>
      </c>
      <c r="H6" s="2989"/>
      <c r="I6" s="2990"/>
      <c r="L6" s="2407" t="s">
        <v>2889</v>
      </c>
      <c r="M6" s="2346" t="s">
        <v>534</v>
      </c>
      <c r="P6" s="3073"/>
      <c r="Q6" s="3073"/>
      <c r="S6" s="2978"/>
      <c r="T6" s="2979"/>
    </row>
    <row r="7" spans="1:20" s="268" customFormat="1" ht="16.5" customHeight="1">
      <c r="A7" s="293"/>
      <c r="B7" s="2407" t="s">
        <v>2889</v>
      </c>
      <c r="C7" s="2346" t="s">
        <v>535</v>
      </c>
      <c r="F7" s="293" t="s">
        <v>4427</v>
      </c>
      <c r="H7" s="2997" t="s">
        <v>3336</v>
      </c>
      <c r="I7" s="2998"/>
      <c r="J7" s="2986"/>
      <c r="L7" s="2407" t="s">
        <v>2889</v>
      </c>
      <c r="M7" s="2349" t="s">
        <v>3456</v>
      </c>
      <c r="P7" s="1556"/>
      <c r="Q7" s="1556"/>
      <c r="S7" s="2978"/>
      <c r="T7" s="2979"/>
    </row>
    <row r="8" spans="1:20" s="268" customFormat="1" ht="16.5" customHeight="1">
      <c r="A8" s="471"/>
      <c r="B8" s="2407" t="s">
        <v>2889</v>
      </c>
      <c r="C8" s="2346" t="s">
        <v>2534</v>
      </c>
      <c r="E8" s="2434" t="s">
        <v>2889</v>
      </c>
      <c r="F8" s="2349" t="s">
        <v>2542</v>
      </c>
      <c r="L8" s="2407" t="s">
        <v>2889</v>
      </c>
      <c r="M8" s="2349" t="s">
        <v>4429</v>
      </c>
      <c r="S8" s="2980"/>
      <c r="T8" s="2981"/>
    </row>
    <row r="9" spans="1:20" s="268" customFormat="1" ht="16.5" customHeight="1">
      <c r="A9" s="471"/>
      <c r="B9" s="2407" t="s">
        <v>2889</v>
      </c>
      <c r="C9" s="2346" t="s">
        <v>2535</v>
      </c>
      <c r="E9" s="2407" t="s">
        <v>2889</v>
      </c>
      <c r="F9" s="2349" t="s">
        <v>3540</v>
      </c>
      <c r="H9" s="2984" t="s">
        <v>3651</v>
      </c>
      <c r="I9" s="2985"/>
      <c r="J9" s="2986"/>
      <c r="L9" s="2407" t="s">
        <v>2889</v>
      </c>
      <c r="M9" s="2346" t="s">
        <v>3505</v>
      </c>
      <c r="S9" s="2976"/>
      <c r="T9" s="2977"/>
    </row>
    <row r="10" spans="1:20" s="268" customFormat="1" ht="16.5" customHeight="1">
      <c r="A10" s="471"/>
      <c r="B10" s="2407" t="s">
        <v>2889</v>
      </c>
      <c r="C10" s="2349" t="s">
        <v>3509</v>
      </c>
      <c r="E10" s="2474" t="s">
        <v>2889</v>
      </c>
      <c r="F10" s="2801" t="s">
        <v>4222</v>
      </c>
      <c r="G10" s="2826"/>
      <c r="H10" s="2826"/>
      <c r="I10" s="2826"/>
      <c r="J10" s="2827"/>
      <c r="L10" s="2407" t="s">
        <v>2889</v>
      </c>
      <c r="M10" s="293" t="s">
        <v>2543</v>
      </c>
      <c r="S10" s="2978"/>
      <c r="T10" s="2979"/>
    </row>
    <row r="11" spans="1:20" s="268" customFormat="1" ht="16.5" customHeight="1">
      <c r="A11" s="471"/>
      <c r="B11" s="2407" t="s">
        <v>2889</v>
      </c>
      <c r="C11" s="293" t="s">
        <v>3662</v>
      </c>
      <c r="F11" s="2991" t="s">
        <v>4224</v>
      </c>
      <c r="G11" s="2992"/>
      <c r="H11" s="2992"/>
      <c r="I11" s="2992"/>
      <c r="J11" s="2993"/>
      <c r="L11" s="2419" t="s">
        <v>2889</v>
      </c>
      <c r="M11" s="293" t="s">
        <v>3543</v>
      </c>
      <c r="S11" s="2978"/>
      <c r="T11" s="2979"/>
    </row>
    <row r="12" spans="1:20" s="268" customFormat="1" ht="16.5" customHeight="1">
      <c r="A12" s="471"/>
      <c r="B12" s="2419" t="s">
        <v>2889</v>
      </c>
      <c r="C12" s="293" t="s">
        <v>2541</v>
      </c>
      <c r="E12" s="2475" t="s">
        <v>2889</v>
      </c>
      <c r="F12" s="2801" t="s">
        <v>4223</v>
      </c>
      <c r="G12" s="2826"/>
      <c r="H12" s="2826"/>
      <c r="I12" s="2826"/>
      <c r="J12" s="2827"/>
      <c r="L12" s="2406" t="s">
        <v>2889</v>
      </c>
      <c r="M12" s="293" t="s">
        <v>2705</v>
      </c>
      <c r="S12" s="2978"/>
      <c r="T12" s="2979"/>
    </row>
    <row r="13" spans="1:20" s="268" customFormat="1" ht="16.5" customHeight="1">
      <c r="A13" s="471"/>
      <c r="B13" s="2407" t="s">
        <v>2889</v>
      </c>
      <c r="C13" s="293" t="s">
        <v>3539</v>
      </c>
      <c r="F13" s="2991" t="s">
        <v>4225</v>
      </c>
      <c r="G13" s="2992"/>
      <c r="H13" s="2992"/>
      <c r="I13" s="2992"/>
      <c r="J13" s="2993"/>
      <c r="L13" s="2407" t="s">
        <v>2889</v>
      </c>
      <c r="M13" s="2349" t="s">
        <v>3661</v>
      </c>
      <c r="S13" s="2980"/>
      <c r="T13" s="2981"/>
    </row>
    <row r="14" spans="1:20" s="268" customFormat="1" ht="16.5" customHeight="1">
      <c r="A14" s="471"/>
      <c r="B14" s="2419" t="s">
        <v>2889</v>
      </c>
      <c r="C14" s="2346" t="s">
        <v>1757</v>
      </c>
      <c r="E14" s="2406" t="s">
        <v>2889</v>
      </c>
      <c r="F14" s="2346" t="s">
        <v>4426</v>
      </c>
      <c r="I14" s="2982"/>
      <c r="J14" s="2983"/>
      <c r="L14" s="2419" t="s">
        <v>2889</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1" t="s">
        <v>2286</v>
      </c>
      <c r="C17" s="293"/>
      <c r="D17" s="2357"/>
      <c r="E17" s="293"/>
      <c r="F17" s="293"/>
      <c r="G17" s="293"/>
      <c r="H17" s="268"/>
      <c r="L17" s="293"/>
      <c r="M17" s="2357"/>
      <c r="N17" s="2963"/>
      <c r="O17" s="2963"/>
      <c r="P17" s="293"/>
      <c r="Q17" s="293"/>
      <c r="S17" s="338" t="str">
        <f>B17</f>
        <v>CONSTRUCTION FINANCING</v>
      </c>
    </row>
    <row r="18" spans="1:20" s="338" customFormat="1" ht="5.25" customHeight="1">
      <c r="A18" s="295"/>
      <c r="B18" s="2351"/>
      <c r="C18" s="293"/>
      <c r="K18" s="293"/>
      <c r="L18" s="293"/>
      <c r="M18" s="2357"/>
      <c r="N18" s="2352"/>
      <c r="O18" s="2352"/>
      <c r="P18" s="293"/>
      <c r="Q18" s="293"/>
    </row>
    <row r="19" spans="1:20" s="268" customFormat="1" ht="17.100000000000001" customHeight="1">
      <c r="A19" s="293"/>
      <c r="B19" s="2346" t="s">
        <v>1824</v>
      </c>
      <c r="C19" s="293"/>
      <c r="D19" s="293"/>
      <c r="E19" s="293"/>
      <c r="F19" s="293"/>
      <c r="G19" s="293"/>
      <c r="H19" s="2964" t="s">
        <v>1271</v>
      </c>
      <c r="I19" s="2964"/>
      <c r="J19" s="2964"/>
      <c r="K19" s="2964"/>
      <c r="L19" s="2722" t="s">
        <v>4389</v>
      </c>
      <c r="M19" s="2722"/>
      <c r="N19" s="2722" t="s">
        <v>1475</v>
      </c>
      <c r="O19" s="2722"/>
      <c r="P19" s="2722" t="s">
        <v>1597</v>
      </c>
      <c r="Q19" s="2722"/>
      <c r="S19" s="2975" t="s">
        <v>2607</v>
      </c>
      <c r="T19" s="2975"/>
    </row>
    <row r="20" spans="1:20" s="268" customFormat="1" ht="15.75" customHeight="1">
      <c r="A20" s="293"/>
      <c r="B20" s="2999" t="s">
        <v>1558</v>
      </c>
      <c r="C20" s="3000"/>
      <c r="D20" s="3000"/>
      <c r="E20" s="2355"/>
      <c r="F20" s="2355"/>
      <c r="G20" s="2355"/>
      <c r="H20" s="3001" t="s">
        <v>7138</v>
      </c>
      <c r="I20" s="3002"/>
      <c r="J20" s="3002"/>
      <c r="K20" s="3003"/>
      <c r="L20" s="3004">
        <v>7794967</v>
      </c>
      <c r="M20" s="3005"/>
      <c r="N20" s="3006">
        <v>5.7500000000000002E-2</v>
      </c>
      <c r="O20" s="3007"/>
      <c r="P20" s="3008">
        <v>24</v>
      </c>
      <c r="Q20" s="3009"/>
      <c r="S20" s="2976"/>
      <c r="T20" s="2977"/>
    </row>
    <row r="21" spans="1:20" s="268" customFormat="1" ht="15.75" customHeight="1">
      <c r="A21" s="293"/>
      <c r="B21" s="3010" t="s">
        <v>1559</v>
      </c>
      <c r="C21" s="3011"/>
      <c r="D21" s="3011"/>
      <c r="E21" s="2357"/>
      <c r="F21" s="2357"/>
      <c r="G21" s="2357"/>
      <c r="H21" s="3012" t="s">
        <v>7112</v>
      </c>
      <c r="I21" s="3013"/>
      <c r="J21" s="3013"/>
      <c r="K21" s="3014"/>
      <c r="L21" s="3015">
        <v>600000</v>
      </c>
      <c r="M21" s="3016"/>
      <c r="N21" s="3025">
        <v>1.15E-2</v>
      </c>
      <c r="O21" s="3026"/>
      <c r="P21" s="3027">
        <v>24</v>
      </c>
      <c r="Q21" s="3028"/>
      <c r="S21" s="2978"/>
      <c r="T21" s="2979"/>
    </row>
    <row r="22" spans="1:20" s="268" customFormat="1" ht="15.75" customHeight="1">
      <c r="A22" s="293"/>
      <c r="B22" s="3029" t="s">
        <v>1560</v>
      </c>
      <c r="C22" s="3030"/>
      <c r="D22" s="3030"/>
      <c r="E22" s="2360"/>
      <c r="F22" s="2360"/>
      <c r="G22" s="2360"/>
      <c r="H22" s="2965"/>
      <c r="I22" s="2966"/>
      <c r="J22" s="2966"/>
      <c r="K22" s="2967"/>
      <c r="L22" s="2968"/>
      <c r="M22" s="2969"/>
      <c r="N22" s="2970"/>
      <c r="O22" s="2971"/>
      <c r="P22" s="2972"/>
      <c r="Q22" s="2973"/>
      <c r="S22" s="2978"/>
      <c r="T22" s="2979"/>
    </row>
    <row r="23" spans="1:20" s="268" customFormat="1" ht="15.75" customHeight="1">
      <c r="A23" s="293"/>
      <c r="B23" s="2999" t="s">
        <v>2159</v>
      </c>
      <c r="C23" s="3000"/>
      <c r="D23" s="3000"/>
      <c r="E23" s="2357"/>
      <c r="F23" s="2357"/>
      <c r="G23" s="2357"/>
      <c r="H23" s="3017"/>
      <c r="I23" s="3018"/>
      <c r="J23" s="3018"/>
      <c r="K23" s="3019"/>
      <c r="L23" s="3020"/>
      <c r="M23" s="3021"/>
      <c r="N23" s="3022"/>
      <c r="O23" s="3023"/>
      <c r="P23" s="3024"/>
      <c r="Q23" s="3024"/>
      <c r="S23" s="2978"/>
      <c r="T23" s="2979"/>
    </row>
    <row r="24" spans="1:20" s="268" customFormat="1" ht="15.75" customHeight="1">
      <c r="A24" s="293"/>
      <c r="B24" s="3010" t="s">
        <v>781</v>
      </c>
      <c r="C24" s="3011"/>
      <c r="D24" s="3011"/>
      <c r="E24" s="2357"/>
      <c r="H24" s="3012"/>
      <c r="I24" s="3013"/>
      <c r="J24" s="3013"/>
      <c r="K24" s="3014"/>
      <c r="L24" s="3015"/>
      <c r="M24" s="3016"/>
      <c r="N24" s="3022"/>
      <c r="O24" s="3023"/>
      <c r="P24" s="3024"/>
      <c r="Q24" s="3024"/>
      <c r="S24" s="2978"/>
      <c r="T24" s="2979"/>
    </row>
    <row r="25" spans="1:20" s="268" customFormat="1" ht="15.75" customHeight="1">
      <c r="A25" s="293"/>
      <c r="B25" s="3010" t="s">
        <v>623</v>
      </c>
      <c r="C25" s="3011"/>
      <c r="D25" s="3011"/>
      <c r="E25" s="2357"/>
      <c r="H25" s="3012"/>
      <c r="I25" s="3013"/>
      <c r="J25" s="3013"/>
      <c r="K25" s="3014"/>
      <c r="L25" s="3015"/>
      <c r="M25" s="3016"/>
      <c r="N25" s="3022"/>
      <c r="O25" s="3023"/>
      <c r="P25" s="3024"/>
      <c r="Q25" s="3024"/>
      <c r="S25" s="2978"/>
      <c r="T25" s="2979"/>
    </row>
    <row r="26" spans="1:20" s="268" customFormat="1" ht="15.75" customHeight="1">
      <c r="A26" s="293"/>
      <c r="B26" s="3010" t="s">
        <v>782</v>
      </c>
      <c r="C26" s="3011"/>
      <c r="D26" s="3011"/>
      <c r="E26" s="2357"/>
      <c r="H26" s="3012" t="s">
        <v>7110</v>
      </c>
      <c r="I26" s="3013"/>
      <c r="J26" s="3013"/>
      <c r="K26" s="3014"/>
      <c r="L26" s="3015">
        <v>1409745</v>
      </c>
      <c r="M26" s="3016"/>
      <c r="N26" s="293"/>
      <c r="Q26" s="293"/>
      <c r="S26" s="2980"/>
      <c r="T26" s="2981"/>
    </row>
    <row r="27" spans="1:20" s="268" customFormat="1" ht="15.75" customHeight="1">
      <c r="A27" s="293"/>
      <c r="B27" s="3010" t="s">
        <v>783</v>
      </c>
      <c r="C27" s="3011"/>
      <c r="D27" s="3011"/>
      <c r="E27" s="2357"/>
      <c r="H27" s="3012" t="s">
        <v>7111</v>
      </c>
      <c r="I27" s="3013"/>
      <c r="J27" s="3013"/>
      <c r="K27" s="3014"/>
      <c r="L27" s="3015">
        <v>865071</v>
      </c>
      <c r="M27" s="3016"/>
      <c r="N27" s="293"/>
      <c r="Q27" s="293"/>
      <c r="S27" s="2976"/>
      <c r="T27" s="2977"/>
    </row>
    <row r="28" spans="1:20" s="268" customFormat="1" ht="15.75" customHeight="1">
      <c r="A28" s="293"/>
      <c r="B28" s="2356" t="s">
        <v>237</v>
      </c>
      <c r="C28" s="2357"/>
      <c r="D28" s="3031"/>
      <c r="E28" s="3031"/>
      <c r="F28" s="3031"/>
      <c r="G28" s="3031"/>
      <c r="H28" s="3012"/>
      <c r="I28" s="3013"/>
      <c r="J28" s="3013"/>
      <c r="K28" s="3014"/>
      <c r="L28" s="3015"/>
      <c r="M28" s="3016"/>
      <c r="N28" s="293"/>
      <c r="Q28" s="293"/>
      <c r="S28" s="2978"/>
      <c r="T28" s="2979"/>
    </row>
    <row r="29" spans="1:20" s="268" customFormat="1" ht="15.75" customHeight="1">
      <c r="A29" s="293"/>
      <c r="B29" s="2356" t="s">
        <v>237</v>
      </c>
      <c r="C29" s="2357"/>
      <c r="D29" s="3032"/>
      <c r="E29" s="3032"/>
      <c r="F29" s="3032"/>
      <c r="G29" s="3032"/>
      <c r="H29" s="3012"/>
      <c r="I29" s="3013"/>
      <c r="J29" s="3013"/>
      <c r="K29" s="3014"/>
      <c r="L29" s="3015"/>
      <c r="M29" s="3016"/>
      <c r="N29" s="293"/>
      <c r="S29" s="2978"/>
      <c r="T29" s="2979"/>
    </row>
    <row r="30" spans="1:20" s="268" customFormat="1" ht="15.75" customHeight="1">
      <c r="A30" s="293"/>
      <c r="B30" s="2359" t="s">
        <v>237</v>
      </c>
      <c r="C30" s="2360"/>
      <c r="D30" s="3033"/>
      <c r="E30" s="3033"/>
      <c r="F30" s="3033"/>
      <c r="G30" s="3033"/>
      <c r="H30" s="2965"/>
      <c r="I30" s="2966"/>
      <c r="J30" s="2966"/>
      <c r="K30" s="2967"/>
      <c r="L30" s="2968"/>
      <c r="M30" s="2969"/>
      <c r="N30" s="293"/>
      <c r="S30" s="2978"/>
      <c r="T30" s="2979"/>
    </row>
    <row r="31" spans="1:20" s="268" customFormat="1" ht="16.5" customHeight="1">
      <c r="A31" s="293"/>
      <c r="B31" s="2351" t="s">
        <v>1272</v>
      </c>
      <c r="C31" s="293"/>
      <c r="D31" s="293"/>
      <c r="E31" s="293"/>
      <c r="F31" s="293"/>
      <c r="G31" s="293"/>
      <c r="H31" s="293"/>
      <c r="I31" s="293"/>
      <c r="L31" s="3034">
        <f>SUM(L20:L30)</f>
        <v>10669783</v>
      </c>
      <c r="M31" s="3035"/>
      <c r="N31" s="311"/>
      <c r="S31" s="2978"/>
      <c r="T31" s="2979"/>
    </row>
    <row r="32" spans="1:20" s="268" customFormat="1" ht="16.5" customHeight="1">
      <c r="A32" s="293"/>
      <c r="B32" s="2346" t="s">
        <v>1273</v>
      </c>
      <c r="C32" s="293"/>
      <c r="D32" s="293"/>
      <c r="E32" s="293"/>
      <c r="F32" s="293"/>
      <c r="G32" s="293"/>
      <c r="H32" s="293"/>
      <c r="I32" s="293"/>
      <c r="L32" s="30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10143747</v>
      </c>
      <c r="M32" s="3037"/>
      <c r="N32" s="820"/>
      <c r="S32" s="2978"/>
      <c r="T32" s="2979"/>
    </row>
    <row r="33" spans="1:20" s="268" customFormat="1" ht="16.5" customHeight="1">
      <c r="A33" s="293"/>
      <c r="B33" s="2349" t="s">
        <v>2107</v>
      </c>
      <c r="C33" s="293"/>
      <c r="D33" s="293"/>
      <c r="E33" s="293"/>
      <c r="F33" s="293"/>
      <c r="G33" s="293"/>
      <c r="H33" s="293"/>
      <c r="I33" s="293"/>
      <c r="L33" s="3038">
        <f>L31-L32</f>
        <v>526036</v>
      </c>
      <c r="M33" s="3039"/>
      <c r="N33" s="820"/>
      <c r="S33" s="2980"/>
      <c r="T33" s="2981"/>
    </row>
    <row r="34" spans="1:20" ht="9.6" customHeight="1">
      <c r="A34" s="319"/>
      <c r="B34" s="2351"/>
      <c r="C34" s="311"/>
      <c r="D34" s="311"/>
      <c r="E34" s="311"/>
      <c r="F34" s="311"/>
      <c r="G34" s="311"/>
      <c r="H34" s="311"/>
      <c r="I34" s="311"/>
      <c r="J34" s="311"/>
      <c r="K34" s="311"/>
      <c r="L34" s="311"/>
      <c r="M34" s="2358"/>
      <c r="N34" s="2358"/>
    </row>
    <row r="35" spans="1:20" ht="9.6" customHeight="1">
      <c r="A35" s="295" t="s">
        <v>724</v>
      </c>
      <c r="B35" s="2351" t="s">
        <v>780</v>
      </c>
      <c r="C35" s="311"/>
      <c r="D35" s="311"/>
      <c r="E35" s="311"/>
      <c r="F35" s="311"/>
      <c r="G35" s="311"/>
      <c r="H35" s="311"/>
      <c r="I35" s="311"/>
      <c r="J35" s="311"/>
      <c r="K35" s="311"/>
      <c r="L35" s="311"/>
      <c r="M35" s="2358"/>
      <c r="N35" s="2358"/>
      <c r="O35" s="311"/>
      <c r="S35" s="338" t="str">
        <f>B35</f>
        <v>PERMANENT FINANCING</v>
      </c>
    </row>
    <row r="36" spans="1:20" s="268" customFormat="1" ht="13.35" customHeight="1">
      <c r="A36" s="293"/>
      <c r="B36" s="293"/>
      <c r="C36" s="293"/>
      <c r="D36" s="293"/>
      <c r="E36" s="293"/>
      <c r="F36" s="2358"/>
      <c r="G36" s="2358"/>
      <c r="H36" s="3024"/>
      <c r="I36" s="3024"/>
      <c r="K36" s="364" t="s">
        <v>2051</v>
      </c>
      <c r="L36" s="2358" t="s">
        <v>1269</v>
      </c>
      <c r="M36" s="2358" t="s">
        <v>1274</v>
      </c>
      <c r="P36" s="3040" t="s">
        <v>32</v>
      </c>
      <c r="Q36" s="3040"/>
      <c r="S36" s="338"/>
    </row>
    <row r="37" spans="1:20" s="268" customFormat="1" ht="13.35" customHeight="1">
      <c r="A37" s="293"/>
      <c r="B37" s="2353" t="s">
        <v>1824</v>
      </c>
      <c r="C37" s="2360"/>
      <c r="D37" s="2360"/>
      <c r="E37" s="2754" t="s">
        <v>1271</v>
      </c>
      <c r="F37" s="2754"/>
      <c r="G37" s="2754"/>
      <c r="H37" s="2754"/>
      <c r="I37" s="2722" t="s">
        <v>4388</v>
      </c>
      <c r="J37" s="2722"/>
      <c r="K37" s="2345" t="s">
        <v>1760</v>
      </c>
      <c r="L37" s="2345" t="s">
        <v>2158</v>
      </c>
      <c r="M37" s="2345" t="s">
        <v>2158</v>
      </c>
      <c r="N37" s="2722" t="s">
        <v>72</v>
      </c>
      <c r="O37" s="2722"/>
      <c r="P37" s="3041"/>
      <c r="Q37" s="3041"/>
      <c r="S37" s="2975" t="s">
        <v>2607</v>
      </c>
      <c r="T37" s="2975"/>
    </row>
    <row r="38" spans="1:20" s="268" customFormat="1" ht="15.75" customHeight="1">
      <c r="A38" s="293"/>
      <c r="B38" s="2999" t="s">
        <v>2547</v>
      </c>
      <c r="C38" s="3000"/>
      <c r="D38" s="3000"/>
      <c r="E38" s="3001" t="s">
        <v>7112</v>
      </c>
      <c r="F38" s="3002"/>
      <c r="G38" s="3002"/>
      <c r="H38" s="3003"/>
      <c r="I38" s="3077">
        <v>600000</v>
      </c>
      <c r="J38" s="3078"/>
      <c r="K38" s="2476">
        <v>1.15E-2</v>
      </c>
      <c r="L38" s="2418">
        <v>10</v>
      </c>
      <c r="M38" s="2418">
        <v>10</v>
      </c>
      <c r="N38" s="3046" t="s">
        <v>7113</v>
      </c>
      <c r="O38" s="3046"/>
      <c r="P38" s="3069">
        <f>IF(OR(I38&lt;=0,I38=""),"",IF(N38="Cash Flow",0,IF(N38="Amortizing",-PMT(K38/12,M38*12,I38,0,0)*12,"")))</f>
        <v>63544.824195970941</v>
      </c>
      <c r="Q38" s="3069"/>
      <c r="S38" s="2976"/>
      <c r="T38" s="2977"/>
    </row>
    <row r="39" spans="1:20" s="268" customFormat="1" ht="15.75" customHeight="1">
      <c r="A39" s="293"/>
      <c r="B39" s="3010" t="s">
        <v>2548</v>
      </c>
      <c r="C39" s="3011"/>
      <c r="D39" s="3011"/>
      <c r="E39" s="3012"/>
      <c r="F39" s="3013"/>
      <c r="G39" s="3013"/>
      <c r="H39" s="3014"/>
      <c r="I39" s="3043"/>
      <c r="J39" s="3044"/>
      <c r="K39" s="2477"/>
      <c r="L39" s="2407"/>
      <c r="M39" s="2407"/>
      <c r="N39" s="3042"/>
      <c r="O39" s="3042"/>
      <c r="P39" s="3045" t="str">
        <f>IF(OR(I39&lt;=0,I39=""),"",IF(N39="Cash Flow",0,IF(N39="Amortizing",-PMT(K39/12,M39*12,I39,0,0)*12,"")))</f>
        <v/>
      </c>
      <c r="Q39" s="3045"/>
      <c r="S39" s="2978"/>
      <c r="T39" s="2979"/>
    </row>
    <row r="40" spans="1:20" s="268" customFormat="1" ht="15.75" customHeight="1">
      <c r="A40" s="293"/>
      <c r="B40" s="3010" t="s">
        <v>2549</v>
      </c>
      <c r="C40" s="3011"/>
      <c r="D40" s="3011"/>
      <c r="E40" s="3012"/>
      <c r="F40" s="3013"/>
      <c r="G40" s="3013"/>
      <c r="H40" s="3014"/>
      <c r="I40" s="3043"/>
      <c r="J40" s="3044"/>
      <c r="K40" s="2477"/>
      <c r="L40" s="2407"/>
      <c r="M40" s="2407"/>
      <c r="N40" s="3042"/>
      <c r="O40" s="3042"/>
      <c r="P40" s="3045" t="str">
        <f>IF(OR(I40&lt;=0,I40=""),"",IF(N40="Cash Flow",0,IF(N40="Amortizing",-PMT(K40/12,M40*12,I40,0,0)*12,"")))</f>
        <v/>
      </c>
      <c r="Q40" s="3045"/>
      <c r="S40" s="2978"/>
      <c r="T40" s="2979"/>
    </row>
    <row r="41" spans="1:20" s="268" customFormat="1" ht="15.75" customHeight="1">
      <c r="A41" s="293"/>
      <c r="B41" s="2356" t="s">
        <v>723</v>
      </c>
      <c r="C41" s="3061"/>
      <c r="D41" s="3062"/>
      <c r="E41" s="3012"/>
      <c r="F41" s="3013"/>
      <c r="G41" s="3013"/>
      <c r="H41" s="3014"/>
      <c r="I41" s="3063"/>
      <c r="J41" s="3064"/>
      <c r="K41" s="2478"/>
      <c r="L41" s="2419"/>
      <c r="M41" s="2419"/>
      <c r="N41" s="3066"/>
      <c r="O41" s="3066"/>
      <c r="P41" s="3065" t="str">
        <f>IF(OR(I41&lt;=0,I41=""),"",IF(N41="Cash Flow",0,IF(N41="Amortizing",-PMT(K41/12,M41*12,I41,0,0)*12,"")))</f>
        <v/>
      </c>
      <c r="Q41" s="3065"/>
      <c r="S41" s="2978"/>
      <c r="T41" s="2979"/>
    </row>
    <row r="42" spans="1:20" s="268" customFormat="1" ht="15.75" customHeight="1">
      <c r="A42" s="293"/>
      <c r="B42" s="2356" t="s">
        <v>4553</v>
      </c>
      <c r="C42" s="2357"/>
      <c r="D42" s="2363"/>
      <c r="E42" s="3012"/>
      <c r="F42" s="3013"/>
      <c r="G42" s="3013"/>
      <c r="H42" s="3014"/>
      <c r="I42" s="3043"/>
      <c r="J42" s="3044"/>
      <c r="K42" s="451"/>
      <c r="L42" s="2362"/>
      <c r="M42" s="2362"/>
      <c r="N42" s="3068"/>
      <c r="O42" s="3068"/>
      <c r="P42" s="3067"/>
      <c r="Q42" s="3067"/>
      <c r="S42" s="2978"/>
      <c r="T42" s="2979"/>
    </row>
    <row r="43" spans="1:20" s="268" customFormat="1" ht="15.75" customHeight="1">
      <c r="A43" s="293"/>
      <c r="B43" s="2359" t="s">
        <v>223</v>
      </c>
      <c r="C43" s="2360"/>
      <c r="D43" s="365" t="str">
        <f>IF(OR(I43="",I43=0,'Part IV-A-Uses of Funds'!$G$118="",'Part IV-A-Uses of Funds'!$G$118=0),"",I43/'Part IV-A-Uses of Funds'!$G$118)</f>
        <v/>
      </c>
      <c r="E43" s="2965"/>
      <c r="F43" s="2966"/>
      <c r="G43" s="2966"/>
      <c r="H43" s="2967"/>
      <c r="I43" s="3055"/>
      <c r="J43" s="3056"/>
      <c r="K43" s="2479"/>
      <c r="L43" s="2406"/>
      <c r="M43" s="2406"/>
      <c r="N43" s="3059"/>
      <c r="O43" s="3060"/>
      <c r="P43" s="3057" t="str">
        <f>IF(OR(I43&lt;=0,I43=""),"",IF(N43="Cash Flow",0,IF(N43="Amortizing",-PMT(K43/12,M43*12,I43,0,0)*12,"")))</f>
        <v/>
      </c>
      <c r="Q43" s="3058"/>
      <c r="S43" s="2978"/>
      <c r="T43" s="2979"/>
    </row>
    <row r="44" spans="1:20" s="268" customFormat="1" ht="3" customHeight="1">
      <c r="A44" s="293"/>
      <c r="B44" s="293"/>
      <c r="C44" s="293"/>
      <c r="D44" s="293"/>
      <c r="E44" s="293"/>
      <c r="F44" s="293"/>
      <c r="G44" s="293"/>
      <c r="H44" s="293"/>
      <c r="I44" s="2480"/>
      <c r="J44" s="2481"/>
      <c r="K44" s="2482"/>
      <c r="L44" s="2358"/>
      <c r="M44" s="2358"/>
      <c r="N44" s="2483"/>
      <c r="O44" s="2483"/>
      <c r="P44" s="2358"/>
      <c r="Q44" s="2358"/>
      <c r="S44" s="2978"/>
      <c r="T44" s="2979"/>
    </row>
    <row r="45" spans="1:20" s="268" customFormat="1" ht="14.25" customHeight="1">
      <c r="A45" s="293"/>
      <c r="B45" s="1020" t="s">
        <v>3833</v>
      </c>
      <c r="C45" s="2357"/>
      <c r="E45" s="268" t="s">
        <v>3772</v>
      </c>
      <c r="F45" s="3049" t="str">
        <f>IF(OR($I$43="",$I$43=0,'Part VII-Pro Forma'!$S$34=0,'Part VII-Pro Forma'!$S$34=""),"",VLOOKUP($L$43,'Part VII-Pro Forma'!$Q$20:$S$39,3))</f>
        <v/>
      </c>
      <c r="G45" s="3050"/>
      <c r="H45" s="582" t="s">
        <v>3832</v>
      </c>
      <c r="I45" s="3049" t="str">
        <f>IF(OR($I$43="",$I$43=0,'Part VII-Pro Forma'!$R$34=0,'Part VII-Pro Forma'!$R$34=""),"",VLOOKUP($L$43,'Part VII-Pro Forma'!$Q$20:$S$34,2))</f>
        <v/>
      </c>
      <c r="J45" s="3050"/>
      <c r="K45" s="582" t="s">
        <v>3834</v>
      </c>
      <c r="L45" s="3047" t="str">
        <f>IF(OR($F$45 = 0,$F$45 =""),"",$I$45/$F$45)</f>
        <v/>
      </c>
      <c r="M45" s="3048"/>
      <c r="N45" s="3053" t="s">
        <v>4396</v>
      </c>
      <c r="O45" s="3054"/>
      <c r="P45" s="3051">
        <f>IF(OR($I$60=0,$I$58&gt;$I$59),0,ABS($I$58-$I$59))</f>
        <v>0</v>
      </c>
      <c r="Q45" s="3052"/>
      <c r="S45" s="2978"/>
      <c r="T45" s="2979"/>
    </row>
    <row r="46" spans="1:20" s="268" customFormat="1" ht="3" customHeight="1">
      <c r="A46" s="293"/>
      <c r="B46" s="293"/>
      <c r="C46" s="293"/>
      <c r="D46" s="293"/>
      <c r="E46" s="293"/>
      <c r="F46" s="293"/>
      <c r="G46" s="293"/>
      <c r="H46" s="293"/>
      <c r="I46" s="2484"/>
      <c r="J46" s="2485"/>
      <c r="K46" s="2482"/>
      <c r="L46" s="2358"/>
      <c r="M46" s="2358"/>
      <c r="N46" s="2483"/>
      <c r="O46" s="2483"/>
      <c r="P46" s="2358"/>
      <c r="Q46" s="2358"/>
      <c r="S46" s="2980"/>
      <c r="T46" s="2981"/>
    </row>
    <row r="47" spans="1:20" s="268" customFormat="1" ht="15.75" customHeight="1">
      <c r="A47" s="293"/>
      <c r="B47" s="3079" t="s">
        <v>2159</v>
      </c>
      <c r="C47" s="3080"/>
      <c r="D47" s="3081"/>
      <c r="E47" s="3082"/>
      <c r="F47" s="3083"/>
      <c r="G47" s="3083"/>
      <c r="H47" s="3084"/>
      <c r="I47" s="3085"/>
      <c r="J47" s="3086"/>
      <c r="K47" s="366"/>
      <c r="L47" s="366"/>
      <c r="M47" s="366"/>
      <c r="N47" s="366"/>
      <c r="O47" s="366"/>
      <c r="P47" s="397" t="s">
        <v>502</v>
      </c>
      <c r="Q47" s="366"/>
      <c r="S47" s="2976"/>
      <c r="T47" s="2977"/>
    </row>
    <row r="48" spans="1:20" s="268" customFormat="1" ht="15.75" customHeight="1">
      <c r="A48" s="293"/>
      <c r="B48" s="3010" t="s">
        <v>781</v>
      </c>
      <c r="C48" s="3011"/>
      <c r="D48" s="3072"/>
      <c r="E48" s="3012"/>
      <c r="F48" s="3013"/>
      <c r="G48" s="3013"/>
      <c r="H48" s="3014"/>
      <c r="I48" s="3043"/>
      <c r="J48" s="3044"/>
      <c r="L48" s="3087" t="s">
        <v>503</v>
      </c>
      <c r="M48" s="3087"/>
      <c r="N48" s="3088" t="s">
        <v>504</v>
      </c>
      <c r="O48" s="3088"/>
      <c r="P48" s="398" t="s">
        <v>2494</v>
      </c>
      <c r="Q48" s="366"/>
      <c r="S48" s="2978"/>
      <c r="T48" s="2979"/>
    </row>
    <row r="49" spans="1:23" s="268" customFormat="1" ht="15.75" customHeight="1">
      <c r="A49" s="293"/>
      <c r="B49" s="3010" t="s">
        <v>782</v>
      </c>
      <c r="C49" s="3011"/>
      <c r="D49" s="3072"/>
      <c r="E49" s="3012" t="s">
        <v>7110</v>
      </c>
      <c r="F49" s="3013"/>
      <c r="G49" s="3013"/>
      <c r="H49" s="3014"/>
      <c r="I49" s="3043">
        <v>7048726</v>
      </c>
      <c r="J49" s="3043"/>
      <c r="L49" s="3070">
        <f>'Part IV-A-Uses of Funds'!$J$184*10*'Part IV-A-Uses of Funds'!$N$175</f>
        <v>7048720.7999999998</v>
      </c>
      <c r="M49" s="3070"/>
      <c r="N49" s="3071">
        <f>I49-L49</f>
        <v>5.2000000001862645</v>
      </c>
      <c r="O49" s="3071"/>
      <c r="P49" s="399">
        <f>I49/I59</f>
        <v>0.58866559629867021</v>
      </c>
      <c r="Q49" s="366"/>
      <c r="S49" s="2978"/>
      <c r="T49" s="2979"/>
    </row>
    <row r="50" spans="1:23" s="268" customFormat="1" ht="15.75" customHeight="1">
      <c r="A50" s="293"/>
      <c r="B50" s="3010" t="s">
        <v>783</v>
      </c>
      <c r="C50" s="3011"/>
      <c r="D50" s="3072"/>
      <c r="E50" s="3012" t="s">
        <v>7111</v>
      </c>
      <c r="F50" s="3013"/>
      <c r="G50" s="3013"/>
      <c r="H50" s="3014"/>
      <c r="I50" s="3043">
        <f>4325354-5</f>
        <v>4325349</v>
      </c>
      <c r="J50" s="3043"/>
      <c r="L50" s="3070">
        <f>'Part IV-A-Uses of Funds'!$J$184*10*'Part IV-A-Uses of Funds'!$Q$175</f>
        <v>4325351.4000000004</v>
      </c>
      <c r="M50" s="3070"/>
      <c r="N50" s="3071">
        <f>I50-L50</f>
        <v>-2.400000000372529</v>
      </c>
      <c r="O50" s="3071"/>
      <c r="P50" s="399">
        <f>I50/I59</f>
        <v>0.36122614899271971</v>
      </c>
      <c r="Q50" s="366"/>
      <c r="S50" s="2978"/>
      <c r="T50" s="2979"/>
    </row>
    <row r="51" spans="1:23" s="268" customFormat="1" ht="15.75" customHeight="1">
      <c r="A51" s="293"/>
      <c r="B51" s="3010" t="s">
        <v>1383</v>
      </c>
      <c r="C51" s="3011"/>
      <c r="D51" s="3072"/>
      <c r="E51" s="3012"/>
      <c r="F51" s="3013"/>
      <c r="G51" s="3013"/>
      <c r="H51" s="3014"/>
      <c r="I51" s="3043"/>
      <c r="J51" s="3043"/>
      <c r="P51" s="400">
        <f>SUM(P49:P50)</f>
        <v>0.94989174529138998</v>
      </c>
      <c r="Q51" s="366"/>
      <c r="S51" s="2980"/>
      <c r="T51" s="2981"/>
    </row>
    <row r="52" spans="1:23" s="268" customFormat="1" ht="15.75" customHeight="1">
      <c r="A52" s="293"/>
      <c r="B52" s="2356" t="s">
        <v>517</v>
      </c>
      <c r="C52" s="2357"/>
      <c r="D52" s="2363"/>
      <c r="E52" s="3012"/>
      <c r="F52" s="3013"/>
      <c r="G52" s="3013"/>
      <c r="H52" s="3014"/>
      <c r="I52" s="3043"/>
      <c r="J52" s="3043"/>
      <c r="K52" s="293"/>
      <c r="Q52" s="366"/>
      <c r="S52" s="2978"/>
      <c r="T52" s="2979"/>
    </row>
    <row r="53" spans="1:23" s="268" customFormat="1" ht="15.75" customHeight="1">
      <c r="A53" s="293"/>
      <c r="B53" s="2356" t="s">
        <v>1822</v>
      </c>
      <c r="C53" s="2357"/>
      <c r="D53" s="2363"/>
      <c r="E53" s="3012"/>
      <c r="F53" s="3013"/>
      <c r="G53" s="3013"/>
      <c r="H53" s="3014"/>
      <c r="I53" s="3043"/>
      <c r="J53" s="3043"/>
      <c r="N53" s="367"/>
      <c r="O53" s="367"/>
      <c r="P53" s="367"/>
      <c r="Q53" s="366"/>
      <c r="S53" s="2978"/>
      <c r="T53" s="2979"/>
    </row>
    <row r="54" spans="1:23" s="268" customFormat="1" ht="15.75" customHeight="1">
      <c r="A54" s="293"/>
      <c r="B54" s="2356" t="s">
        <v>1823</v>
      </c>
      <c r="C54" s="2357"/>
      <c r="D54" s="2363"/>
      <c r="E54" s="3012"/>
      <c r="F54" s="3013"/>
      <c r="G54" s="3013"/>
      <c r="H54" s="3014"/>
      <c r="I54" s="3043"/>
      <c r="J54" s="3043"/>
      <c r="M54" s="367"/>
      <c r="N54" s="367"/>
      <c r="O54" s="367"/>
      <c r="P54" s="367"/>
      <c r="Q54" s="366"/>
      <c r="S54" s="2978"/>
      <c r="T54" s="2979"/>
    </row>
    <row r="55" spans="1:23" s="268" customFormat="1" ht="15.75" customHeight="1">
      <c r="A55" s="293"/>
      <c r="B55" s="2356" t="s">
        <v>723</v>
      </c>
      <c r="C55" s="3031"/>
      <c r="D55" s="3031"/>
      <c r="E55" s="3012"/>
      <c r="F55" s="3013"/>
      <c r="G55" s="3013"/>
      <c r="H55" s="3014"/>
      <c r="I55" s="3043"/>
      <c r="J55" s="3043"/>
      <c r="M55" s="367"/>
      <c r="N55" s="367"/>
      <c r="O55" s="367"/>
      <c r="P55" s="367"/>
      <c r="Q55" s="366"/>
      <c r="S55" s="2978"/>
      <c r="T55" s="2979"/>
    </row>
    <row r="56" spans="1:23" s="268" customFormat="1" ht="15.75" customHeight="1">
      <c r="A56" s="293"/>
      <c r="B56" s="2356" t="s">
        <v>723</v>
      </c>
      <c r="C56" s="3032"/>
      <c r="D56" s="3032"/>
      <c r="E56" s="3012"/>
      <c r="F56" s="3013"/>
      <c r="G56" s="3013"/>
      <c r="H56" s="3014"/>
      <c r="I56" s="3043"/>
      <c r="J56" s="3043"/>
      <c r="K56" s="293"/>
      <c r="L56" s="368"/>
      <c r="M56" s="367"/>
      <c r="N56" s="367"/>
      <c r="O56" s="367"/>
      <c r="P56" s="367"/>
      <c r="Q56" s="366"/>
      <c r="S56" s="2978"/>
      <c r="T56" s="2979"/>
    </row>
    <row r="57" spans="1:23" s="268" customFormat="1" ht="15.75" customHeight="1">
      <c r="A57" s="293"/>
      <c r="B57" s="2359" t="s">
        <v>723</v>
      </c>
      <c r="C57" s="3033"/>
      <c r="D57" s="3033"/>
      <c r="E57" s="2965"/>
      <c r="F57" s="2966"/>
      <c r="G57" s="2966"/>
      <c r="H57" s="2967"/>
      <c r="I57" s="3089"/>
      <c r="J57" s="3089"/>
      <c r="K57" s="293"/>
      <c r="L57" s="368"/>
      <c r="M57" s="367"/>
      <c r="N57" s="367"/>
      <c r="O57" s="367"/>
      <c r="P57" s="367"/>
      <c r="Q57" s="366"/>
      <c r="S57" s="2978"/>
      <c r="T57" s="2979"/>
    </row>
    <row r="58" spans="1:23" s="268" customFormat="1" ht="14.25" customHeight="1">
      <c r="A58" s="293"/>
      <c r="B58" s="2346" t="s">
        <v>2160</v>
      </c>
      <c r="C58" s="293"/>
      <c r="D58" s="293"/>
      <c r="E58" s="293"/>
      <c r="F58" s="293"/>
      <c r="G58" s="293"/>
      <c r="I58" s="3090">
        <f>SUM(I38:J43)+SUM(I47:J57)</f>
        <v>11974075</v>
      </c>
      <c r="J58" s="3091"/>
      <c r="K58" s="293"/>
      <c r="L58" s="368"/>
      <c r="M58" s="367"/>
      <c r="N58" s="367"/>
      <c r="O58" s="367"/>
      <c r="P58" s="367"/>
      <c r="Q58" s="366"/>
      <c r="S58" s="2978"/>
      <c r="T58" s="2979"/>
    </row>
    <row r="59" spans="1:23" s="268" customFormat="1" ht="14.25" customHeight="1" thickBot="1">
      <c r="A59" s="293"/>
      <c r="B59" s="2346" t="s">
        <v>2161</v>
      </c>
      <c r="C59" s="293"/>
      <c r="D59" s="293"/>
      <c r="E59" s="293"/>
      <c r="F59" s="293"/>
      <c r="G59" s="293"/>
      <c r="I59" s="3092">
        <f>'Part IV-A-Uses of Funds'!$G$132</f>
        <v>11974075</v>
      </c>
      <c r="J59" s="3093"/>
      <c r="K59" s="293"/>
      <c r="L59" s="368"/>
      <c r="M59" s="367"/>
      <c r="N59" s="367"/>
      <c r="O59" s="367"/>
      <c r="P59" s="367"/>
      <c r="Q59" s="366"/>
      <c r="S59" s="2978"/>
      <c r="T59" s="2979"/>
    </row>
    <row r="60" spans="1:23" s="268" customFormat="1" ht="14.25" customHeight="1" thickBot="1">
      <c r="A60" s="293"/>
      <c r="B60" s="2349" t="s">
        <v>1493</v>
      </c>
      <c r="C60" s="293"/>
      <c r="D60" s="293"/>
      <c r="E60" s="293"/>
      <c r="F60" s="293"/>
      <c r="G60" s="293"/>
      <c r="I60" s="3094">
        <f>I58-I59</f>
        <v>0</v>
      </c>
      <c r="J60" s="3095"/>
      <c r="K60" s="293"/>
      <c r="L60" s="368"/>
      <c r="M60" s="367"/>
      <c r="N60" s="367"/>
      <c r="O60" s="367"/>
      <c r="P60" s="367"/>
      <c r="Q60" s="366"/>
      <c r="S60" s="2980"/>
      <c r="T60" s="2981"/>
    </row>
    <row r="61" spans="1:23" s="268" customFormat="1" ht="13.35" customHeight="1">
      <c r="A61" s="293" t="s">
        <v>4554</v>
      </c>
      <c r="B61" s="234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6" t="s">
        <v>7170</v>
      </c>
      <c r="B64" s="3076"/>
      <c r="C64" s="3076"/>
      <c r="D64" s="3076"/>
      <c r="E64" s="3076"/>
      <c r="F64" s="3076"/>
      <c r="G64" s="3076"/>
      <c r="H64" s="3076"/>
      <c r="I64" s="3076"/>
      <c r="J64" s="3076"/>
      <c r="K64" s="3076"/>
      <c r="L64" s="3076"/>
      <c r="M64" s="3075"/>
      <c r="N64" s="3075"/>
      <c r="O64" s="3075"/>
      <c r="P64" s="3075"/>
      <c r="Q64" s="3075"/>
      <c r="S64" s="3074" t="s">
        <v>2614</v>
      </c>
      <c r="T64" s="307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xU0tfyURMXO7Xr8CXpejVf/GIoBmNgn1iI39oQmAPgUd/9weRBirOxZB4/6sbP5Okoc9gd7k05SkVpQw/Z3wA==" saltValue="WKWglMDLo1AeXQ3nohb67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104" t="e">
        <f>CONCATENATE("PART III B: USD 538 LOAN","  -  ",#REF!," ",#REF!,", ",#REF!,", ",#REF!," County")</f>
        <v>#REF!</v>
      </c>
      <c r="B1" s="3105"/>
      <c r="C1" s="3105"/>
      <c r="D1" s="3105"/>
      <c r="E1" s="3105"/>
      <c r="F1" s="310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97" t="s">
        <v>213</v>
      </c>
      <c r="B3" s="3097"/>
      <c r="C3" s="3097"/>
      <c r="D3" s="3097"/>
      <c r="E3" s="3097"/>
      <c r="F3" s="309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8" t="s">
        <v>125</v>
      </c>
      <c r="B14" s="3098"/>
      <c r="C14" s="3098"/>
      <c r="D14" s="3098"/>
      <c r="E14" s="3098"/>
      <c r="F14" s="3098"/>
      <c r="G14" s="193"/>
      <c r="H14" s="193"/>
    </row>
    <row r="15" spans="1:17" ht="5.4" customHeight="1">
      <c r="A15" s="28"/>
      <c r="E15" s="204"/>
      <c r="F15" s="193"/>
      <c r="G15" s="193"/>
      <c r="H15" s="193"/>
    </row>
    <row r="16" spans="1:17" ht="13.35" customHeight="1">
      <c r="A16" s="206" t="s">
        <v>2416</v>
      </c>
      <c r="B16" s="207" t="s">
        <v>2413</v>
      </c>
      <c r="C16" s="207" t="s">
        <v>2414</v>
      </c>
      <c r="D16" s="3107" t="s">
        <v>2196</v>
      </c>
      <c r="E16" s="3107"/>
      <c r="F16" s="193"/>
      <c r="G16" s="193"/>
      <c r="H16" s="193"/>
    </row>
    <row r="17" spans="1:8" ht="12.6" customHeight="1">
      <c r="A17" s="80">
        <v>1</v>
      </c>
      <c r="B17" s="182">
        <f>IF(A17&gt;$C$9,0,SUM(C64:C75)*($C$6/$C$7))</f>
        <v>0</v>
      </c>
      <c r="C17" s="205">
        <f>IF(A17&gt;C9,0,(E63+K63)*$C$8)</f>
        <v>0</v>
      </c>
      <c r="D17" s="3102">
        <f t="shared" ref="D17:D56" si="0">IF(A17&gt;$C$9,0,$C$11+C17)</f>
        <v>0</v>
      </c>
      <c r="E17" s="3102"/>
      <c r="F17" s="193"/>
      <c r="G17" s="193"/>
      <c r="H17" s="193"/>
    </row>
    <row r="18" spans="1:8" ht="12.6" customHeight="1">
      <c r="A18" s="80">
        <v>2</v>
      </c>
      <c r="B18" s="182">
        <f>IF(A18&gt;C9,0,SUM(C76:C87)*($C$6/$C$7))</f>
        <v>0</v>
      </c>
      <c r="C18" s="212">
        <f>IF(A18&gt;C9,0,(E75+K75)*$C$8)</f>
        <v>0</v>
      </c>
      <c r="D18" s="3100">
        <f t="shared" si="0"/>
        <v>0</v>
      </c>
      <c r="E18" s="3100"/>
      <c r="F18" s="193"/>
      <c r="G18" s="193"/>
      <c r="H18" s="193"/>
    </row>
    <row r="19" spans="1:8" ht="12.6" customHeight="1">
      <c r="A19" s="80">
        <v>3</v>
      </c>
      <c r="B19" s="182">
        <f>IF(A19&gt;C9,0,SUM(C88:C99)*($C$6/$C$7))</f>
        <v>0</v>
      </c>
      <c r="C19" s="205">
        <f>IF(A19&gt;C9,0,(E87+K87)*$C$8)</f>
        <v>0</v>
      </c>
      <c r="D19" s="3100">
        <f t="shared" si="0"/>
        <v>0</v>
      </c>
      <c r="E19" s="3100"/>
      <c r="F19" s="193"/>
      <c r="G19" s="193"/>
      <c r="H19" s="193"/>
    </row>
    <row r="20" spans="1:8" ht="12.6" customHeight="1">
      <c r="A20" s="80">
        <v>4</v>
      </c>
      <c r="B20" s="182">
        <f>IF(A20&gt;C9,0,SUM(C100:C111)*($C$6/$C$7))</f>
        <v>0</v>
      </c>
      <c r="C20" s="205">
        <f>IF(A20&gt;C9,0,(E99+K99)*$C$8)</f>
        <v>0</v>
      </c>
      <c r="D20" s="3100">
        <f t="shared" si="0"/>
        <v>0</v>
      </c>
      <c r="E20" s="3100"/>
      <c r="F20" s="193"/>
      <c r="G20" s="193"/>
      <c r="H20" s="193"/>
    </row>
    <row r="21" spans="1:8" ht="12.6" customHeight="1">
      <c r="A21" s="80">
        <v>5</v>
      </c>
      <c r="B21" s="182">
        <f>IF(A21&gt;C9,0,SUM(C112:C123)*($C$6/$C$7))</f>
        <v>0</v>
      </c>
      <c r="C21" s="205">
        <f>IF(A21&gt;C9,0,(E111+K111)*$C$8)</f>
        <v>0</v>
      </c>
      <c r="D21" s="3101">
        <f t="shared" si="0"/>
        <v>0</v>
      </c>
      <c r="E21" s="3101"/>
      <c r="F21" s="193"/>
      <c r="G21" s="193"/>
      <c r="H21" s="193"/>
    </row>
    <row r="22" spans="1:8" ht="12.6" customHeight="1">
      <c r="A22" s="183">
        <v>6</v>
      </c>
      <c r="B22" s="184">
        <f>IF(A22&gt;C9,0,SUM(C124:C135)*($C$6/$C$7))</f>
        <v>0</v>
      </c>
      <c r="C22" s="209">
        <f>IF(A22&gt;C9,0,(E123+K123)*$C$8)</f>
        <v>0</v>
      </c>
      <c r="D22" s="3100">
        <f t="shared" si="0"/>
        <v>0</v>
      </c>
      <c r="E22" s="3100"/>
      <c r="F22" s="193"/>
      <c r="G22" s="193"/>
      <c r="H22" s="193"/>
    </row>
    <row r="23" spans="1:8" ht="12.6" customHeight="1">
      <c r="A23" s="185">
        <v>7</v>
      </c>
      <c r="B23" s="186">
        <f>IF(A23&gt;C9,0,SUM(C136:C147)*($C$6/$C$7))</f>
        <v>0</v>
      </c>
      <c r="C23" s="187">
        <f>IF(A23&gt;C9,0,(E135+K135)*$C$8)</f>
        <v>0</v>
      </c>
      <c r="D23" s="3100">
        <f t="shared" si="0"/>
        <v>0</v>
      </c>
      <c r="E23" s="3100"/>
      <c r="F23" s="193"/>
      <c r="G23" s="193"/>
      <c r="H23" s="193"/>
    </row>
    <row r="24" spans="1:8" ht="12.6" customHeight="1">
      <c r="A24" s="185">
        <v>8</v>
      </c>
      <c r="B24" s="186">
        <f>IF(A24&gt;C9,0,SUM(C148:C159)*($C$6/$C$7))</f>
        <v>0</v>
      </c>
      <c r="C24" s="187">
        <f>IF(A24&gt;C9,0,(E147+K147)*$C$8)</f>
        <v>0</v>
      </c>
      <c r="D24" s="3100">
        <f t="shared" si="0"/>
        <v>0</v>
      </c>
      <c r="E24" s="3100"/>
      <c r="F24" s="193"/>
      <c r="G24" s="193"/>
      <c r="H24" s="193"/>
    </row>
    <row r="25" spans="1:8" ht="12.6" customHeight="1">
      <c r="A25" s="185">
        <v>9</v>
      </c>
      <c r="B25" s="186">
        <f>IF(A25&gt;C9,0,SUM(C160:C171)*($C$6/$C$7))</f>
        <v>0</v>
      </c>
      <c r="C25" s="187">
        <f>IF(A25&gt;C9,0,(E159+K159)*$C$8)</f>
        <v>0</v>
      </c>
      <c r="D25" s="3100">
        <f t="shared" si="0"/>
        <v>0</v>
      </c>
      <c r="E25" s="3100"/>
      <c r="F25" s="193"/>
      <c r="G25" s="193"/>
      <c r="H25" s="193"/>
    </row>
    <row r="26" spans="1:8" ht="12.6" customHeight="1">
      <c r="A26" s="188">
        <v>10</v>
      </c>
      <c r="B26" s="189">
        <f>IF(A26&gt;C9,0,SUM(C172:C183)*($C$6/$C$7))</f>
        <v>0</v>
      </c>
      <c r="C26" s="208">
        <f>IF(A26&gt;C9,0,(E171+K171)*$C$8)</f>
        <v>0</v>
      </c>
      <c r="D26" s="3101">
        <f t="shared" si="0"/>
        <v>0</v>
      </c>
      <c r="E26" s="3101"/>
      <c r="F26" s="193"/>
      <c r="G26" s="193"/>
      <c r="H26" s="193"/>
    </row>
    <row r="27" spans="1:8" ht="12.6" customHeight="1">
      <c r="A27" s="190">
        <v>11</v>
      </c>
      <c r="B27" s="182">
        <f>IF(A27&gt;C9,0,SUM(C184:C195)*($C$6/$C$7))</f>
        <v>0</v>
      </c>
      <c r="C27" s="205">
        <f>IF(A27&gt;C9,0,(E183+K183)*$C$8)</f>
        <v>0</v>
      </c>
      <c r="D27" s="3100">
        <f t="shared" si="0"/>
        <v>0</v>
      </c>
      <c r="E27" s="3100"/>
      <c r="F27" s="193"/>
      <c r="G27" s="193"/>
      <c r="H27" s="193"/>
    </row>
    <row r="28" spans="1:8" ht="12.6" customHeight="1">
      <c r="A28" s="190">
        <v>12</v>
      </c>
      <c r="B28" s="182">
        <f>IF(A28&gt;C9,0,SUM(C196:C207)*($C$6/$C$7))</f>
        <v>0</v>
      </c>
      <c r="C28" s="205">
        <f>IF(A28&gt;C9,0,(E195+K195)*$C$8)</f>
        <v>0</v>
      </c>
      <c r="D28" s="3100">
        <f t="shared" si="0"/>
        <v>0</v>
      </c>
      <c r="E28" s="3100"/>
      <c r="F28" s="193"/>
      <c r="G28" s="193"/>
      <c r="H28" s="193"/>
    </row>
    <row r="29" spans="1:8" ht="12.6" customHeight="1">
      <c r="A29" s="190">
        <v>13</v>
      </c>
      <c r="B29" s="182">
        <f>IF(A29&gt;C9,0,SUM(C208:C219)*($C$6/$C$7))</f>
        <v>0</v>
      </c>
      <c r="C29" s="205">
        <f>IF(A29&gt;C9,0,(E207+K207)*$C$8)</f>
        <v>0</v>
      </c>
      <c r="D29" s="3100">
        <f t="shared" si="0"/>
        <v>0</v>
      </c>
      <c r="E29" s="3100"/>
      <c r="F29" s="193"/>
      <c r="G29" s="193"/>
      <c r="H29" s="193"/>
    </row>
    <row r="30" spans="1:8" ht="12.6" customHeight="1">
      <c r="A30" s="190">
        <v>14</v>
      </c>
      <c r="B30" s="182">
        <f>IF(A30&gt;C9,0,SUM(C220:C231)*($C$6/$C$7))</f>
        <v>0</v>
      </c>
      <c r="C30" s="205">
        <f>IF(A30&gt;C9,0,(E219+K219)*$C$8)</f>
        <v>0</v>
      </c>
      <c r="D30" s="3100">
        <f t="shared" si="0"/>
        <v>0</v>
      </c>
      <c r="E30" s="3100"/>
      <c r="F30" s="193"/>
      <c r="G30" s="193"/>
      <c r="H30" s="193"/>
    </row>
    <row r="31" spans="1:8" ht="12.6" customHeight="1">
      <c r="A31" s="190">
        <v>15</v>
      </c>
      <c r="B31" s="182">
        <f>IF(A31&gt;C9,0,SUM(C232:C243)*($C$6/$C$7))</f>
        <v>0</v>
      </c>
      <c r="C31" s="205">
        <f>IF(A31&gt;C9,0,(E231+K231)*$C$8)</f>
        <v>0</v>
      </c>
      <c r="D31" s="3101">
        <f t="shared" si="0"/>
        <v>0</v>
      </c>
      <c r="E31" s="3101"/>
      <c r="F31" s="193"/>
      <c r="G31" s="193"/>
      <c r="H31" s="193"/>
    </row>
    <row r="32" spans="1:8" ht="12.6" customHeight="1">
      <c r="A32" s="192">
        <v>16</v>
      </c>
      <c r="B32" s="184">
        <f>IF(A32&gt;C9,0,SUM(C244:C255)*($C$6/$C$7))</f>
        <v>0</v>
      </c>
      <c r="C32" s="209">
        <f>IF(A32&gt;C9,0,(E243+K243)*$C$8)</f>
        <v>0</v>
      </c>
      <c r="D32" s="3100">
        <f t="shared" si="0"/>
        <v>0</v>
      </c>
      <c r="E32" s="3100"/>
      <c r="F32" s="193"/>
      <c r="G32" s="193"/>
      <c r="H32" s="193"/>
    </row>
    <row r="33" spans="1:8" ht="12.6" customHeight="1">
      <c r="A33" s="185">
        <v>17</v>
      </c>
      <c r="B33" s="186">
        <f>IF(A33&gt;C9,0,SUM(C256:C267)*($C$6/$C$7))</f>
        <v>0</v>
      </c>
      <c r="C33" s="187">
        <f>IF(A33&gt;C9,0,(E255+K255)*$C$8)</f>
        <v>0</v>
      </c>
      <c r="D33" s="3100">
        <f t="shared" si="0"/>
        <v>0</v>
      </c>
      <c r="E33" s="3100"/>
      <c r="F33" s="193"/>
      <c r="G33" s="193"/>
      <c r="H33" s="193"/>
    </row>
    <row r="34" spans="1:8" ht="12.6" customHeight="1">
      <c r="A34" s="185">
        <v>18</v>
      </c>
      <c r="B34" s="186">
        <f>IF(A34&gt;C9,0,SUM(C268:C279)*($C$6/$C$7))</f>
        <v>0</v>
      </c>
      <c r="C34" s="187">
        <f>IF(A34&gt;C9,0,(E267+K267)*$C$8)</f>
        <v>0</v>
      </c>
      <c r="D34" s="3100">
        <f t="shared" si="0"/>
        <v>0</v>
      </c>
      <c r="E34" s="3100"/>
      <c r="F34" s="193"/>
      <c r="G34" s="193"/>
      <c r="H34" s="193"/>
    </row>
    <row r="35" spans="1:8" ht="12.6" customHeight="1">
      <c r="A35" s="185">
        <v>19</v>
      </c>
      <c r="B35" s="186">
        <f>IF(A35&gt;C9,0,SUM(C280:C291)*($C$6/$C$7))</f>
        <v>0</v>
      </c>
      <c r="C35" s="187">
        <f>IF(A35&gt;C9,0,(E279+K279)*$C$8)</f>
        <v>0</v>
      </c>
      <c r="D35" s="3100">
        <f t="shared" si="0"/>
        <v>0</v>
      </c>
      <c r="E35" s="3100"/>
      <c r="F35" s="193"/>
      <c r="G35" s="193"/>
      <c r="H35" s="193"/>
    </row>
    <row r="36" spans="1:8" ht="12.6" customHeight="1">
      <c r="A36" s="188">
        <v>20</v>
      </c>
      <c r="B36" s="189">
        <f>IF(A36&gt;C9,0,SUM(C292:C303)*($C$6/$C$7))</f>
        <v>0</v>
      </c>
      <c r="C36" s="208">
        <f>IF(A36&gt;C9,0,(E291+K291)*$C$8)</f>
        <v>0</v>
      </c>
      <c r="D36" s="3101">
        <f t="shared" si="0"/>
        <v>0</v>
      </c>
      <c r="E36" s="3101"/>
      <c r="F36" s="193"/>
      <c r="G36" s="193"/>
      <c r="H36" s="193"/>
    </row>
    <row r="37" spans="1:8" ht="12.6" customHeight="1">
      <c r="A37" s="80">
        <v>21</v>
      </c>
      <c r="B37" s="184">
        <f>IF(A37&gt;C9,0,SUM(C293:C304)*($C$6/$C$7))</f>
        <v>0</v>
      </c>
      <c r="C37" s="209">
        <f>IF(A37&gt;C9,0,(E303+K303)*$C$8)</f>
        <v>0</v>
      </c>
      <c r="D37" s="3103">
        <f t="shared" si="0"/>
        <v>0</v>
      </c>
      <c r="E37" s="3103"/>
      <c r="F37" s="193"/>
      <c r="G37" s="193"/>
      <c r="H37" s="193"/>
    </row>
    <row r="38" spans="1:8" ht="12.6" customHeight="1">
      <c r="A38" s="80">
        <v>22</v>
      </c>
      <c r="B38" s="186">
        <f>IF(A38&gt;C9,0,SUM(C294:C305)*($C$6/$C$7))</f>
        <v>0</v>
      </c>
      <c r="C38" s="187">
        <f>IF(A38&gt;C9,0,(E315+K315)*$C$8)</f>
        <v>0</v>
      </c>
      <c r="D38" s="3100">
        <f t="shared" si="0"/>
        <v>0</v>
      </c>
      <c r="E38" s="3100"/>
      <c r="F38" s="193"/>
      <c r="G38" s="193"/>
      <c r="H38" s="193"/>
    </row>
    <row r="39" spans="1:8" ht="12.6" customHeight="1">
      <c r="A39" s="80">
        <v>23</v>
      </c>
      <c r="B39" s="186">
        <f>IF(A39&gt;C9,0,SUM(C295:C306)*($C$6/$C$7))</f>
        <v>0</v>
      </c>
      <c r="C39" s="187">
        <f>IF(A39&gt;C9,0,(E327+K327)*$C$8)</f>
        <v>0</v>
      </c>
      <c r="D39" s="3100">
        <f t="shared" si="0"/>
        <v>0</v>
      </c>
      <c r="E39" s="3100"/>
      <c r="F39" s="193"/>
      <c r="G39" s="193"/>
      <c r="H39" s="193"/>
    </row>
    <row r="40" spans="1:8" ht="12.6" customHeight="1">
      <c r="A40" s="80">
        <v>24</v>
      </c>
      <c r="B40" s="186">
        <f>IF(A40&gt;C9,0,SUM(C296:C307)*($C$6/$C$7))</f>
        <v>0</v>
      </c>
      <c r="C40" s="187">
        <f>IF(A40&gt;C9,0,(E339+K339)*$C$8)</f>
        <v>0</v>
      </c>
      <c r="D40" s="3100">
        <f t="shared" si="0"/>
        <v>0</v>
      </c>
      <c r="E40" s="3100"/>
      <c r="F40" s="193"/>
      <c r="G40" s="193"/>
      <c r="H40" s="193"/>
    </row>
    <row r="41" spans="1:8" ht="12.6" customHeight="1">
      <c r="A41" s="80">
        <v>25</v>
      </c>
      <c r="B41" s="189">
        <f>IF(A41&gt;C9,0,SUM(C297:C308)*($C$6/$C$7))</f>
        <v>0</v>
      </c>
      <c r="C41" s="208">
        <f>IF(A41&gt;C9,0,(E351+K351)*$C$8)</f>
        <v>0</v>
      </c>
      <c r="D41" s="3101">
        <f t="shared" si="0"/>
        <v>0</v>
      </c>
      <c r="E41" s="3101"/>
      <c r="F41" s="193"/>
      <c r="G41" s="193"/>
      <c r="H41" s="193"/>
    </row>
    <row r="42" spans="1:8" ht="12.6" customHeight="1">
      <c r="A42" s="183">
        <v>26</v>
      </c>
      <c r="B42" s="184">
        <f>IF(A42&gt;C9,0,SUM(C298:C309)*($C$6/$C$7))</f>
        <v>0</v>
      </c>
      <c r="C42" s="209">
        <f>IF(A42&gt;C9,0,(E363+K363)*$C$8)</f>
        <v>0</v>
      </c>
      <c r="D42" s="3103">
        <f t="shared" si="0"/>
        <v>0</v>
      </c>
      <c r="E42" s="3103"/>
      <c r="F42" s="193"/>
      <c r="G42" s="193"/>
      <c r="H42" s="193"/>
    </row>
    <row r="43" spans="1:8" ht="12.6" customHeight="1">
      <c r="A43" s="185">
        <v>27</v>
      </c>
      <c r="B43" s="186">
        <f>IF(A43&gt;C9,0,SUM(C299:C310)*($C$6/$C$7))</f>
        <v>0</v>
      </c>
      <c r="C43" s="187">
        <f>IF(A43&gt;C9,0,(E375+K375)*$C$8)</f>
        <v>0</v>
      </c>
      <c r="D43" s="3100">
        <f t="shared" si="0"/>
        <v>0</v>
      </c>
      <c r="E43" s="3100"/>
      <c r="F43" s="193"/>
      <c r="G43" s="193"/>
      <c r="H43" s="193"/>
    </row>
    <row r="44" spans="1:8" ht="12.6" customHeight="1">
      <c r="A44" s="185">
        <v>28</v>
      </c>
      <c r="B44" s="186">
        <f>IF(A44&gt;C9,0,SUM(C300:C311)*($C$6/$C$7))</f>
        <v>0</v>
      </c>
      <c r="C44" s="187">
        <f>IF(A44&gt;C9,0,(E387+K387)*$C$8)</f>
        <v>0</v>
      </c>
      <c r="D44" s="3100">
        <f t="shared" si="0"/>
        <v>0</v>
      </c>
      <c r="E44" s="3100"/>
      <c r="F44" s="193"/>
      <c r="G44" s="193"/>
      <c r="H44" s="193"/>
    </row>
    <row r="45" spans="1:8" ht="12.6" customHeight="1">
      <c r="A45" s="185">
        <v>29</v>
      </c>
      <c r="B45" s="186">
        <f>IF(A45&gt;C9,0,SUM(C301:C312)*($C$6/$C$7))</f>
        <v>0</v>
      </c>
      <c r="C45" s="187">
        <f>IF(A45&gt;C9,0,(E411+K411)*$C$8)</f>
        <v>0</v>
      </c>
      <c r="D45" s="3100">
        <f t="shared" si="0"/>
        <v>0</v>
      </c>
      <c r="E45" s="3100"/>
      <c r="F45" s="193"/>
      <c r="G45" s="193"/>
      <c r="H45" s="193"/>
    </row>
    <row r="46" spans="1:8" ht="12.6" customHeight="1">
      <c r="A46" s="188">
        <v>30</v>
      </c>
      <c r="B46" s="189">
        <f>IF(A46&gt;C9,0,SUM(C302:C313)*($C$6/$C$7))</f>
        <v>0</v>
      </c>
      <c r="C46" s="208">
        <f>IF(A46&gt;C9,0,(E423+K423)*$C$8)</f>
        <v>0</v>
      </c>
      <c r="D46" s="3101">
        <f t="shared" si="0"/>
        <v>0</v>
      </c>
      <c r="E46" s="3101"/>
      <c r="F46" s="193"/>
      <c r="G46" s="193"/>
      <c r="H46" s="193"/>
    </row>
    <row r="47" spans="1:8" ht="12.6" customHeight="1">
      <c r="A47" s="192">
        <v>31</v>
      </c>
      <c r="B47" s="184">
        <f>IF(A47&gt;C9,0,SUM(C303:C314)*($C$6/$C$7))</f>
        <v>0</v>
      </c>
      <c r="C47" s="209">
        <f>IF(A47&gt;C9,0,(E435+K435)*$C$8)</f>
        <v>0</v>
      </c>
      <c r="D47" s="3103">
        <f t="shared" si="0"/>
        <v>0</v>
      </c>
      <c r="E47" s="3103"/>
      <c r="F47" s="193"/>
      <c r="G47" s="193"/>
      <c r="H47" s="193"/>
    </row>
    <row r="48" spans="1:8" ht="12.6" customHeight="1">
      <c r="A48" s="185">
        <v>32</v>
      </c>
      <c r="B48" s="186">
        <f>IF(A48&gt;C9,0,SUM(C304:C315)*($C$6/$C$7))</f>
        <v>0</v>
      </c>
      <c r="C48" s="187">
        <f>IF(A48&gt;C9,0,(E447+K447)*$C$8)</f>
        <v>0</v>
      </c>
      <c r="D48" s="3100">
        <f t="shared" si="0"/>
        <v>0</v>
      </c>
      <c r="E48" s="3100"/>
      <c r="F48" s="193"/>
      <c r="G48" s="193"/>
      <c r="H48" s="193"/>
    </row>
    <row r="49" spans="1:12" ht="12.6" customHeight="1">
      <c r="A49" s="185">
        <v>33</v>
      </c>
      <c r="B49" s="186">
        <f>IF(A49&gt;C9,0,SUM(C305:C316)*($C$6/$C$7))</f>
        <v>0</v>
      </c>
      <c r="C49" s="187">
        <f>IF(A49&gt;C9,0,(E459+K459)*$C$8)</f>
        <v>0</v>
      </c>
      <c r="D49" s="3100">
        <f t="shared" si="0"/>
        <v>0</v>
      </c>
      <c r="E49" s="3100"/>
      <c r="F49" s="193"/>
      <c r="G49" s="193"/>
      <c r="H49" s="193"/>
    </row>
    <row r="50" spans="1:12" ht="12.6" customHeight="1">
      <c r="A50" s="185">
        <v>34</v>
      </c>
      <c r="B50" s="186">
        <f>IF(A50&gt;C9,0,SUM(C306:C317)*($C$6/$C$7))</f>
        <v>0</v>
      </c>
      <c r="C50" s="187">
        <f>IF(A50&gt;C9,0,(E471+K471)*$C$8)</f>
        <v>0</v>
      </c>
      <c r="D50" s="3100">
        <f t="shared" si="0"/>
        <v>0</v>
      </c>
      <c r="E50" s="3100"/>
      <c r="F50" s="193"/>
      <c r="G50" s="193"/>
      <c r="H50" s="193"/>
    </row>
    <row r="51" spans="1:12" ht="12.6" customHeight="1">
      <c r="A51" s="188">
        <v>35</v>
      </c>
      <c r="B51" s="189">
        <f>IF(A51&gt;C9,0,SUM(C307:C318)*($C$6/$C$7))</f>
        <v>0</v>
      </c>
      <c r="C51" s="208">
        <f>IF(A51&gt;C9,0,(E483+K483)*$C$8)</f>
        <v>0</v>
      </c>
      <c r="D51" s="3101">
        <f t="shared" si="0"/>
        <v>0</v>
      </c>
      <c r="E51" s="3101"/>
      <c r="F51" s="193"/>
      <c r="G51" s="193"/>
      <c r="H51" s="193"/>
    </row>
    <row r="52" spans="1:12" ht="12.6" customHeight="1">
      <c r="A52" s="192">
        <v>36</v>
      </c>
      <c r="B52" s="184">
        <f>IF(A52&gt;C9,0,SUM(C308:C319)*($C$6/$C$7))</f>
        <v>0</v>
      </c>
      <c r="C52" s="209">
        <f>IF(A52&gt;C9,0,(E495+K495)*$C$8)</f>
        <v>0</v>
      </c>
      <c r="D52" s="3103">
        <f t="shared" si="0"/>
        <v>0</v>
      </c>
      <c r="E52" s="3103"/>
      <c r="F52" s="193"/>
      <c r="G52" s="193"/>
      <c r="H52" s="193"/>
    </row>
    <row r="53" spans="1:12" ht="12.6" customHeight="1">
      <c r="A53" s="185">
        <v>37</v>
      </c>
      <c r="B53" s="186">
        <f>IF(A53&gt;C9,0,SUM(C309:C320)*($C$6/$C$7))</f>
        <v>0</v>
      </c>
      <c r="C53" s="187">
        <f>IF(A53&gt;C9,0,(E507+K507)*$C$8)</f>
        <v>0</v>
      </c>
      <c r="D53" s="3100">
        <f t="shared" si="0"/>
        <v>0</v>
      </c>
      <c r="E53" s="3100"/>
      <c r="F53" s="193"/>
      <c r="G53" s="193"/>
      <c r="H53" s="193"/>
    </row>
    <row r="54" spans="1:12" ht="12.6" customHeight="1">
      <c r="A54" s="185">
        <v>38</v>
      </c>
      <c r="B54" s="186">
        <f>IF(A54&gt;C9,0,SUM(C310:C321)*($C$6/$C$7))</f>
        <v>0</v>
      </c>
      <c r="C54" s="187">
        <f>IF(A54&gt;C9,0,(E519+K519)*$C$8)</f>
        <v>0</v>
      </c>
      <c r="D54" s="3100">
        <f t="shared" si="0"/>
        <v>0</v>
      </c>
      <c r="E54" s="3100"/>
      <c r="F54" s="193"/>
      <c r="G54" s="193"/>
      <c r="H54" s="193"/>
    </row>
    <row r="55" spans="1:12" ht="12.6" customHeight="1">
      <c r="A55" s="185">
        <v>39</v>
      </c>
      <c r="B55" s="186">
        <f>IF(A55&gt;C9,0,SUM(C311:C322)*($C$6/$C$7))</f>
        <v>0</v>
      </c>
      <c r="C55" s="187">
        <f>IF(A55&gt;C9,0,(E531+K531)*$C$8)</f>
        <v>0</v>
      </c>
      <c r="D55" s="3100">
        <f t="shared" si="0"/>
        <v>0</v>
      </c>
      <c r="E55" s="3100"/>
      <c r="F55" s="193"/>
      <c r="G55" s="193"/>
      <c r="H55" s="193"/>
    </row>
    <row r="56" spans="1:12" ht="12.6" customHeight="1">
      <c r="A56" s="188">
        <v>40</v>
      </c>
      <c r="B56" s="189">
        <f>IF(A56&gt;C9,0,SUM(C312:C323)*($C$6/$C$7))</f>
        <v>0</v>
      </c>
      <c r="C56" s="208">
        <f>IF(A56&gt;C9,0,(E543+K543)*$C$8)</f>
        <v>0</v>
      </c>
      <c r="D56" s="3101">
        <f t="shared" si="0"/>
        <v>0</v>
      </c>
      <c r="E56" s="3101"/>
      <c r="F56" s="193"/>
      <c r="G56" s="193"/>
      <c r="H56" s="193"/>
    </row>
    <row r="57" spans="1:12" ht="3" customHeight="1">
      <c r="A57" s="193"/>
      <c r="B57" s="193"/>
      <c r="C57" s="193"/>
      <c r="D57" s="193"/>
      <c r="E57" s="193"/>
      <c r="F57" s="193"/>
      <c r="G57" s="193"/>
      <c r="H57" s="193"/>
    </row>
    <row r="58" spans="1:12" ht="13.35" customHeight="1">
      <c r="A58" s="3099" t="e">
        <f>CONCATENATE(#REF!," ",#REF!,", ",#REF!,", ",#REF!," County")</f>
        <v>#REF!</v>
      </c>
      <c r="B58" s="3099"/>
      <c r="C58" s="3099"/>
      <c r="D58" s="3099"/>
      <c r="E58" s="3099"/>
      <c r="F58" s="3099"/>
      <c r="G58" s="3099" t="e">
        <f>CONCATENATE(#REF!," ",#REF!,", ",#REF!,", ",#REF!," County")</f>
        <v>#REF!</v>
      </c>
      <c r="H58" s="3099"/>
      <c r="I58" s="3099"/>
      <c r="J58" s="3099"/>
      <c r="K58" s="3099"/>
      <c r="L58" s="3099"/>
    </row>
    <row r="59" spans="1:12" ht="13.8">
      <c r="A59" s="3096" t="s">
        <v>2407</v>
      </c>
      <c r="B59" s="3096"/>
      <c r="C59" s="3096"/>
      <c r="D59" s="3096"/>
      <c r="E59" s="3096"/>
      <c r="F59" s="3096"/>
      <c r="G59" s="3096" t="s">
        <v>2407</v>
      </c>
      <c r="H59" s="3096"/>
      <c r="I59" s="3096"/>
      <c r="J59" s="3096"/>
      <c r="K59" s="3096"/>
      <c r="L59" s="309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104" t="e">
        <f>CONCATENATE("PART III C  - HUD INSURED LOAN","  -  ",#REF!," ",#REF!,", ",#REF!,", ",#REF!," County")</f>
        <v>#REF!</v>
      </c>
      <c r="B1" s="3105"/>
      <c r="C1" s="3105"/>
      <c r="D1" s="3105"/>
      <c r="E1" s="3105"/>
      <c r="F1" s="3106"/>
      <c r="G1" s="162"/>
      <c r="H1" s="162"/>
      <c r="I1" s="162"/>
      <c r="J1" s="162"/>
      <c r="K1" s="162"/>
      <c r="L1" s="162"/>
      <c r="M1" s="162"/>
      <c r="N1" s="162"/>
      <c r="O1" s="162"/>
      <c r="P1" s="162"/>
      <c r="Q1" s="162"/>
    </row>
    <row r="2" spans="1:17">
      <c r="A2" s="13"/>
      <c r="B2" s="181"/>
      <c r="C2" s="181"/>
      <c r="D2" s="181"/>
    </row>
    <row r="3" spans="1:17" ht="15.6" customHeight="1">
      <c r="A3" s="3097" t="s">
        <v>213</v>
      </c>
      <c r="B3" s="3097"/>
      <c r="C3" s="3097"/>
      <c r="D3" s="3097"/>
      <c r="E3" s="3097"/>
      <c r="F3" s="3097"/>
      <c r="G3" s="224"/>
      <c r="H3" s="224"/>
    </row>
    <row r="4" spans="1:17">
      <c r="A4" s="13"/>
      <c r="B4" s="181"/>
      <c r="C4" s="181"/>
      <c r="D4" s="181"/>
    </row>
    <row r="5" spans="1:17" ht="13.35" customHeight="1">
      <c r="A5" s="27" t="s">
        <v>2197</v>
      </c>
      <c r="D5" s="219"/>
      <c r="E5" s="3108" t="s">
        <v>934</v>
      </c>
      <c r="F5" s="3109"/>
      <c r="G5" s="159"/>
    </row>
    <row r="6" spans="1:17">
      <c r="E6" s="3109"/>
      <c r="F6" s="3109"/>
      <c r="G6" s="159"/>
    </row>
    <row r="7" spans="1:17">
      <c r="A7" s="27" t="s">
        <v>2399</v>
      </c>
      <c r="C7" s="27" t="s">
        <v>2400</v>
      </c>
      <c r="D7" s="220"/>
      <c r="E7" s="3109"/>
      <c r="F7" s="3109"/>
      <c r="G7" s="159"/>
    </row>
    <row r="8" spans="1:17">
      <c r="C8" s="27" t="s">
        <v>2401</v>
      </c>
      <c r="D8" s="220"/>
      <c r="E8" s="3109"/>
      <c r="F8" s="3109"/>
      <c r="G8" s="159"/>
    </row>
    <row r="9" spans="1:17">
      <c r="C9" s="27" t="s">
        <v>2402</v>
      </c>
      <c r="D9" s="220"/>
      <c r="E9" s="3109"/>
      <c r="F9" s="3109"/>
      <c r="G9" s="159"/>
    </row>
    <row r="10" spans="1:17">
      <c r="C10" s="27" t="s">
        <v>2415</v>
      </c>
      <c r="D10" s="225">
        <f>D7+D8+D9</f>
        <v>0</v>
      </c>
      <c r="E10" s="3109"/>
      <c r="F10" s="310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8" t="s">
        <v>1675</v>
      </c>
      <c r="B24" s="3098"/>
      <c r="C24" s="3098"/>
      <c r="D24" s="3098"/>
      <c r="E24" s="3098"/>
      <c r="F24" s="3098"/>
      <c r="J24" s="228"/>
    </row>
    <row r="25" spans="1:10">
      <c r="C25" s="191"/>
      <c r="J25" s="228"/>
    </row>
    <row r="26" spans="1:10">
      <c r="A26" s="104"/>
      <c r="B26" s="80"/>
      <c r="C26" s="3110" t="s">
        <v>2196</v>
      </c>
      <c r="D26" s="223"/>
      <c r="E26" s="80"/>
      <c r="F26" s="3110" t="s">
        <v>2196</v>
      </c>
      <c r="J26" s="228"/>
    </row>
    <row r="27" spans="1:10">
      <c r="A27" s="229" t="s">
        <v>2416</v>
      </c>
      <c r="B27" s="71" t="s">
        <v>1004</v>
      </c>
      <c r="C27" s="3111"/>
      <c r="D27" s="230" t="s">
        <v>2416</v>
      </c>
      <c r="E27" s="71" t="s">
        <v>1004</v>
      </c>
      <c r="F27" s="311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9" t="e">
        <f>CONCATENATE(#REF!," ",#REF!,", ",#REF!,", ",#REF!," County")</f>
        <v>#REF!</v>
      </c>
      <c r="B50" s="3099"/>
      <c r="C50" s="3099"/>
      <c r="D50" s="3099"/>
      <c r="E50" s="3099"/>
      <c r="F50" s="3099"/>
      <c r="G50" s="214"/>
      <c r="H50" s="214"/>
    </row>
    <row r="51" spans="1:10" ht="13.8">
      <c r="A51" s="3096" t="s">
        <v>2407</v>
      </c>
      <c r="B51" s="3096"/>
      <c r="C51" s="3096"/>
      <c r="D51" s="3096"/>
      <c r="E51" s="3096"/>
      <c r="F51" s="3096"/>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50" zoomScaleNormal="15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9" t="str">
        <f>CONCATENATE("PART FOUR -  USES OF FUNDS","  -  ",'Part I-Project Information'!$O$6," ",'Part I-Project Information'!$F$34,", ",'Part I-Project Information'!F38,", ",'Part I-Project Information'!J39," County")</f>
        <v>PART FOUR -  USES OF FUNDS  -  2020-091 The Pointe at St. Martin, Hartwell, Hart County</v>
      </c>
      <c r="B1" s="3140"/>
      <c r="C1" s="3140"/>
      <c r="D1" s="3140"/>
      <c r="E1" s="3140"/>
      <c r="F1" s="3140"/>
      <c r="G1" s="3140"/>
      <c r="H1" s="3140"/>
      <c r="I1" s="3140"/>
      <c r="J1" s="3140"/>
      <c r="K1" s="3140"/>
      <c r="L1" s="3140"/>
      <c r="M1" s="3140"/>
      <c r="N1" s="3140"/>
      <c r="O1" s="3140"/>
      <c r="P1" s="3140"/>
      <c r="Q1" s="3140"/>
      <c r="R1" s="3140"/>
      <c r="S1" s="3140"/>
      <c r="T1" s="3140"/>
      <c r="W1" s="3141" t="str">
        <f>A1</f>
        <v>PART FOUR -  USES OF FUNDS  -  2020-091 The Pointe at St. Martin, Hartwell, Hart County</v>
      </c>
      <c r="X1" s="3141"/>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51" t="str">
        <f>'Part I-Project Information'!$B$6</f>
        <v>May 26, 2020 Version</v>
      </c>
      <c r="E5" s="3251"/>
      <c r="F5" s="3251"/>
      <c r="G5" s="3251"/>
      <c r="H5" s="3251"/>
      <c r="I5" s="473"/>
      <c r="J5" s="3142" t="s">
        <v>266</v>
      </c>
      <c r="K5" s="3143"/>
      <c r="L5" s="343"/>
      <c r="M5" s="3146" t="s">
        <v>479</v>
      </c>
      <c r="N5" s="3147"/>
      <c r="P5" s="3142" t="s">
        <v>267</v>
      </c>
      <c r="Q5" s="3143"/>
      <c r="S5" s="3142" t="s">
        <v>268</v>
      </c>
      <c r="T5" s="3143"/>
      <c r="V5" s="419" t="str">
        <f>B5</f>
        <v>DEVELOPMENT BUDGET</v>
      </c>
    </row>
    <row r="6" spans="1:24" s="293" customFormat="1" ht="19.5" customHeight="1" thickBot="1">
      <c r="D6" s="1494"/>
      <c r="E6" s="1494"/>
      <c r="F6" s="1494"/>
      <c r="G6" s="3150" t="s">
        <v>98</v>
      </c>
      <c r="H6" s="3151"/>
      <c r="J6" s="3144"/>
      <c r="K6" s="3145"/>
      <c r="L6" s="343"/>
      <c r="M6" s="3148"/>
      <c r="N6" s="3149"/>
      <c r="P6" s="3144"/>
      <c r="Q6" s="3145"/>
      <c r="S6" s="3144"/>
      <c r="T6" s="3145"/>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04">
        <v>8500</v>
      </c>
      <c r="H8" s="3005"/>
      <c r="J8" s="3004">
        <v>8500</v>
      </c>
      <c r="K8" s="3005"/>
      <c r="L8" s="2369"/>
      <c r="M8" s="3004"/>
      <c r="N8" s="3005"/>
      <c r="P8" s="3004"/>
      <c r="Q8" s="3005"/>
      <c r="S8" s="3004"/>
      <c r="T8" s="3005"/>
      <c r="V8" s="2486"/>
      <c r="W8" s="3122"/>
      <c r="X8" s="3123"/>
    </row>
    <row r="9" spans="1:24" s="293" customFormat="1" ht="12.6" customHeight="1">
      <c r="B9" s="293" t="s">
        <v>448</v>
      </c>
      <c r="G9" s="3015">
        <v>10500</v>
      </c>
      <c r="H9" s="3016"/>
      <c r="J9" s="3015">
        <v>10500</v>
      </c>
      <c r="K9" s="3016"/>
      <c r="L9" s="2369"/>
      <c r="M9" s="3015"/>
      <c r="N9" s="3016"/>
      <c r="P9" s="3015"/>
      <c r="Q9" s="3016"/>
      <c r="S9" s="3015"/>
      <c r="T9" s="3016"/>
      <c r="V9" s="2486"/>
      <c r="W9" s="3122"/>
      <c r="X9" s="3123"/>
    </row>
    <row r="10" spans="1:24" s="293" customFormat="1" ht="12.6" customHeight="1">
      <c r="B10" s="293" t="s">
        <v>477</v>
      </c>
      <c r="G10" s="3015">
        <v>15000</v>
      </c>
      <c r="H10" s="3016"/>
      <c r="J10" s="3015">
        <v>15000</v>
      </c>
      <c r="K10" s="3016"/>
      <c r="L10" s="2369"/>
      <c r="M10" s="3015"/>
      <c r="N10" s="3016"/>
      <c r="P10" s="3015"/>
      <c r="Q10" s="3016"/>
      <c r="S10" s="3015"/>
      <c r="T10" s="3016"/>
      <c r="V10" s="2486"/>
      <c r="W10" s="3122"/>
      <c r="X10" s="3123"/>
    </row>
    <row r="11" spans="1:24" s="293" customFormat="1" ht="12.6" customHeight="1">
      <c r="B11" s="293" t="s">
        <v>478</v>
      </c>
      <c r="G11" s="3015">
        <v>10000</v>
      </c>
      <c r="H11" s="3016"/>
      <c r="J11" s="3015">
        <v>10000</v>
      </c>
      <c r="K11" s="3016"/>
      <c r="L11" s="2369"/>
      <c r="M11" s="3015"/>
      <c r="N11" s="3016"/>
      <c r="P11" s="3015"/>
      <c r="Q11" s="3016"/>
      <c r="S11" s="3015"/>
      <c r="T11" s="3016"/>
      <c r="V11" s="2486"/>
      <c r="W11" s="3122"/>
      <c r="X11" s="3123"/>
    </row>
    <row r="12" spans="1:24" s="293" customFormat="1" ht="12.6" customHeight="1">
      <c r="B12" s="293" t="s">
        <v>2435</v>
      </c>
      <c r="G12" s="3015">
        <v>14000</v>
      </c>
      <c r="H12" s="3016"/>
      <c r="J12" s="3015">
        <v>14000</v>
      </c>
      <c r="K12" s="3016"/>
      <c r="L12" s="2369"/>
      <c r="M12" s="3015"/>
      <c r="N12" s="3016"/>
      <c r="P12" s="3015"/>
      <c r="Q12" s="3016"/>
      <c r="S12" s="3015"/>
      <c r="T12" s="3016"/>
      <c r="V12" s="2486"/>
      <c r="W12" s="3122"/>
      <c r="X12" s="3123"/>
    </row>
    <row r="13" spans="1:24" s="293" customFormat="1" ht="12.6" customHeight="1">
      <c r="B13" s="293" t="s">
        <v>186</v>
      </c>
      <c r="G13" s="3015">
        <f>2200+2500+4</f>
        <v>4704</v>
      </c>
      <c r="H13" s="3016"/>
      <c r="J13" s="3015">
        <f>2200+2500+4</f>
        <v>4704</v>
      </c>
      <c r="K13" s="3016"/>
      <c r="L13" s="2369"/>
      <c r="M13" s="3015"/>
      <c r="N13" s="3016"/>
      <c r="P13" s="3015"/>
      <c r="Q13" s="3016"/>
      <c r="S13" s="3015"/>
      <c r="T13" s="3016"/>
      <c r="V13" s="2486"/>
      <c r="W13" s="3122"/>
      <c r="X13" s="3123"/>
    </row>
    <row r="14" spans="1:24" s="293" customFormat="1" ht="12.6" customHeight="1">
      <c r="A14" s="370" t="str">
        <f>IF(AND(G14&gt;0,OR(C14="",C14="&lt;Enter detailed description here; use Comments section if needed&gt;")),"X","")</f>
        <v/>
      </c>
      <c r="B14" s="293" t="s">
        <v>723</v>
      </c>
      <c r="C14" s="3152" t="s">
        <v>3532</v>
      </c>
      <c r="D14" s="3152"/>
      <c r="E14" s="3152"/>
      <c r="F14" s="3153"/>
      <c r="G14" s="3015"/>
      <c r="H14" s="3016"/>
      <c r="J14" s="3015"/>
      <c r="K14" s="3016"/>
      <c r="L14" s="2369"/>
      <c r="M14" s="3015"/>
      <c r="N14" s="3016"/>
      <c r="P14" s="3015"/>
      <c r="Q14" s="3016"/>
      <c r="S14" s="3015"/>
      <c r="T14" s="3016"/>
      <c r="U14" s="369" t="str">
        <f>IF(AND(G14&gt;0,OR(C14="",C14="&lt;Enter detailed description here; use Comments section if needed&gt;")),"NO DESCRIPTION PROVIDED - please enter detailed description in Other box at left; use Comments section below if needed.","")</f>
        <v/>
      </c>
      <c r="V14" s="2487"/>
      <c r="W14" s="3122"/>
      <c r="X14" s="3123"/>
    </row>
    <row r="15" spans="1:24" s="293" customFormat="1" ht="12.6" customHeight="1">
      <c r="A15" s="370" t="str">
        <f>IF(AND(G15&gt;0,OR(C15="",C15="&lt;Enter detailed description here; use Comments section if needed&gt;")),"X","")</f>
        <v/>
      </c>
      <c r="B15" s="293" t="s">
        <v>723</v>
      </c>
      <c r="C15" s="3152" t="s">
        <v>3532</v>
      </c>
      <c r="D15" s="3152"/>
      <c r="E15" s="3152"/>
      <c r="F15" s="3153"/>
      <c r="G15" s="3015"/>
      <c r="H15" s="3016"/>
      <c r="J15" s="3015"/>
      <c r="K15" s="3016"/>
      <c r="L15" s="2369"/>
      <c r="M15" s="3015"/>
      <c r="N15" s="3016"/>
      <c r="P15" s="3015"/>
      <c r="Q15" s="3016"/>
      <c r="S15" s="3015"/>
      <c r="T15" s="3016"/>
      <c r="U15" s="369" t="str">
        <f>IF(AND(G15&gt;0,OR(C15="",C15="&lt;Enter detailed description here; use Comments section if needed&gt;")),"NO DESCRIPTION PROVIDED - please enter detailed description in Other box at left; use Comments section below if needed.","")</f>
        <v/>
      </c>
      <c r="V15" s="2487"/>
      <c r="W15" s="3122"/>
      <c r="X15" s="3123"/>
    </row>
    <row r="16" spans="1:24" s="293" customFormat="1" ht="12.6" customHeight="1" thickBot="1">
      <c r="A16" s="370" t="str">
        <f>IF(AND(G16&gt;0,OR(C16="",C16="&lt;Enter detailed description here; use Comments section if needed&gt;")),"X","")</f>
        <v/>
      </c>
      <c r="B16" s="293" t="s">
        <v>723</v>
      </c>
      <c r="C16" s="3152" t="s">
        <v>3532</v>
      </c>
      <c r="D16" s="3152"/>
      <c r="E16" s="3152"/>
      <c r="F16" s="3153"/>
      <c r="G16" s="3157"/>
      <c r="H16" s="3158"/>
      <c r="J16" s="3157"/>
      <c r="K16" s="3158"/>
      <c r="L16" s="2369"/>
      <c r="M16" s="3157"/>
      <c r="N16" s="3158"/>
      <c r="P16" s="3157"/>
      <c r="Q16" s="3158"/>
      <c r="S16" s="3157"/>
      <c r="T16" s="3158"/>
      <c r="U16" s="369" t="str">
        <f>IF(AND(G16&gt;0,OR(C16="",C16="&lt;Enter detailed description here; use Comments section if needed&gt;")),"NO DESCRIPTION PROVIDED - please enter detailed description in Other box at left; use Comments section below if needed.","")</f>
        <v/>
      </c>
      <c r="V16" s="2487"/>
      <c r="W16" s="3129"/>
      <c r="X16" s="3130"/>
    </row>
    <row r="17" spans="2:24" s="293" customFormat="1" ht="12.6" customHeight="1" thickTop="1">
      <c r="F17" s="344" t="s">
        <v>187</v>
      </c>
      <c r="G17" s="3154">
        <f>SUM(G8:H16)</f>
        <v>62704</v>
      </c>
      <c r="H17" s="3155"/>
      <c r="J17" s="3154">
        <f>SUM(J8:K16)</f>
        <v>62704</v>
      </c>
      <c r="K17" s="3156"/>
      <c r="L17" s="2369"/>
      <c r="M17" s="3154">
        <f>SUM(M8:N16)</f>
        <v>0</v>
      </c>
      <c r="N17" s="3155"/>
      <c r="P17" s="3154">
        <f>SUM(P8:Q16)</f>
        <v>0</v>
      </c>
      <c r="Q17" s="3155"/>
      <c r="S17" s="3154">
        <f>SUM(S8:T16)</f>
        <v>0</v>
      </c>
      <c r="T17" s="3155"/>
      <c r="V17" s="2488">
        <f>SUM(V8:V16)</f>
        <v>0</v>
      </c>
      <c r="W17" s="3198"/>
      <c r="X17" s="3199"/>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3544</v>
      </c>
      <c r="F19" s="452">
        <f>IF('Part I-Project Information'!$O$37="","",G19/'Part I-Project Information'!$O$37)</f>
        <v>78070.784177654394</v>
      </c>
      <c r="G19" s="3004">
        <v>675000</v>
      </c>
      <c r="H19" s="3005"/>
      <c r="J19" s="346"/>
      <c r="K19" s="343"/>
      <c r="L19" s="346"/>
      <c r="M19" s="346"/>
      <c r="N19" s="343"/>
      <c r="P19" s="346"/>
      <c r="Q19" s="343"/>
      <c r="S19" s="3004">
        <v>675000</v>
      </c>
      <c r="T19" s="3005"/>
      <c r="V19" s="2486"/>
      <c r="W19" s="3122"/>
      <c r="X19" s="3123"/>
    </row>
    <row r="20" spans="2:24" s="293" customFormat="1" ht="12.6" customHeight="1">
      <c r="B20" s="293" t="s">
        <v>1097</v>
      </c>
      <c r="G20" s="3015"/>
      <c r="H20" s="3016"/>
      <c r="J20" s="346"/>
      <c r="K20" s="343"/>
      <c r="L20" s="346"/>
      <c r="M20" s="346"/>
      <c r="N20" s="343"/>
      <c r="P20" s="346"/>
      <c r="Q20" s="343"/>
      <c r="S20" s="3015"/>
      <c r="T20" s="3016"/>
      <c r="V20" s="2486"/>
      <c r="W20" s="3122"/>
      <c r="X20" s="3123"/>
    </row>
    <row r="21" spans="2:24" s="293" customFormat="1" ht="12.6" customHeight="1">
      <c r="B21" s="293" t="s">
        <v>449</v>
      </c>
      <c r="G21" s="3015"/>
      <c r="H21" s="3016"/>
      <c r="J21" s="346"/>
      <c r="K21" s="343"/>
      <c r="L21" s="346"/>
      <c r="M21" s="3004"/>
      <c r="N21" s="3005"/>
      <c r="P21" s="346"/>
      <c r="Q21" s="343"/>
      <c r="S21" s="3015"/>
      <c r="T21" s="3016"/>
      <c r="V21" s="2486"/>
      <c r="W21" s="3122"/>
      <c r="X21" s="3123"/>
    </row>
    <row r="22" spans="2:24" s="293" customFormat="1" ht="12.6" customHeight="1" thickBot="1">
      <c r="B22" s="293" t="s">
        <v>422</v>
      </c>
      <c r="G22" s="3157"/>
      <c r="H22" s="3158"/>
      <c r="J22" s="346"/>
      <c r="K22" s="343"/>
      <c r="L22" s="346"/>
      <c r="M22" s="3157"/>
      <c r="N22" s="3158"/>
      <c r="P22" s="346"/>
      <c r="Q22" s="343"/>
      <c r="S22" s="3157"/>
      <c r="T22" s="3158"/>
      <c r="V22" s="2486"/>
      <c r="W22" s="3129"/>
      <c r="X22" s="3130"/>
    </row>
    <row r="23" spans="2:24" s="293" customFormat="1" ht="12.6" customHeight="1" thickTop="1">
      <c r="F23" s="344" t="s">
        <v>187</v>
      </c>
      <c r="G23" s="3154">
        <f>SUM(G19:H22)</f>
        <v>675000</v>
      </c>
      <c r="H23" s="3155"/>
      <c r="J23" s="346"/>
      <c r="K23" s="343"/>
      <c r="L23" s="346"/>
      <c r="M23" s="3154">
        <f>SUM(M21:N22)</f>
        <v>0</v>
      </c>
      <c r="N23" s="3155"/>
      <c r="P23" s="346"/>
      <c r="Q23" s="343"/>
      <c r="S23" s="3154">
        <f>SUM(S19:T22)</f>
        <v>675000</v>
      </c>
      <c r="T23" s="3155"/>
      <c r="V23" s="2488">
        <f>SUM(V19:V22)</f>
        <v>0</v>
      </c>
      <c r="W23" s="3198"/>
      <c r="X23" s="3199"/>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144026.13925514687</v>
      </c>
      <c r="G25" s="3004">
        <v>1245250</v>
      </c>
      <c r="H25" s="3005"/>
      <c r="J25" s="3004">
        <v>1245250</v>
      </c>
      <c r="K25" s="3005"/>
      <c r="L25" s="2369"/>
      <c r="M25" s="3159"/>
      <c r="N25" s="3160"/>
      <c r="P25" s="3159"/>
      <c r="Q25" s="3160"/>
      <c r="S25" s="3004"/>
      <c r="T25" s="3005"/>
      <c r="V25" s="2486"/>
      <c r="W25" s="3122"/>
      <c r="X25" s="3123"/>
    </row>
    <row r="26" spans="2:24" s="293" customFormat="1" ht="12.6" customHeight="1" thickBot="1">
      <c r="B26" s="293" t="s">
        <v>1100</v>
      </c>
      <c r="G26" s="3157"/>
      <c r="H26" s="3158"/>
      <c r="J26" s="3157"/>
      <c r="K26" s="3158"/>
      <c r="L26" s="347"/>
      <c r="M26" s="3161"/>
      <c r="N26" s="3161"/>
      <c r="P26" s="3161"/>
      <c r="Q26" s="3161"/>
      <c r="S26" s="3157"/>
      <c r="T26" s="3158"/>
      <c r="V26" s="2486"/>
      <c r="W26" s="3129"/>
      <c r="X26" s="3130"/>
    </row>
    <row r="27" spans="2:24" s="293" customFormat="1" ht="12.6" customHeight="1" thickTop="1">
      <c r="F27" s="344" t="s">
        <v>187</v>
      </c>
      <c r="G27" s="3154">
        <f>SUM(G25:H26)</f>
        <v>1245250</v>
      </c>
      <c r="H27" s="3155"/>
      <c r="J27" s="3154">
        <f>SUM(J25:K26)</f>
        <v>1245250</v>
      </c>
      <c r="K27" s="3155"/>
      <c r="L27" s="346"/>
      <c r="M27" s="3154">
        <f>M25</f>
        <v>0</v>
      </c>
      <c r="N27" s="3155"/>
      <c r="P27" s="3154">
        <f>P25</f>
        <v>0</v>
      </c>
      <c r="Q27" s="3155"/>
      <c r="S27" s="3154">
        <f>SUM(S25:T26)</f>
        <v>0</v>
      </c>
      <c r="T27" s="3155"/>
      <c r="V27" s="2488">
        <f>SUM(V25:V26)</f>
        <v>0</v>
      </c>
      <c r="W27" s="3198"/>
      <c r="X27" s="3199"/>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004">
        <f>5756140-125000</f>
        <v>5631140</v>
      </c>
      <c r="H29" s="3005"/>
      <c r="J29" s="3004">
        <f>5756140-125000</f>
        <v>5631140</v>
      </c>
      <c r="K29" s="3005"/>
      <c r="L29" s="2369"/>
      <c r="M29" s="3004"/>
      <c r="N29" s="3005"/>
      <c r="P29" s="3004"/>
      <c r="Q29" s="3005"/>
      <c r="S29" s="3004"/>
      <c r="T29" s="3005"/>
      <c r="V29" s="2486"/>
      <c r="W29" s="3122"/>
      <c r="X29" s="3123"/>
    </row>
    <row r="30" spans="2:24" s="293" customFormat="1" ht="12.6" customHeight="1">
      <c r="B30" s="293" t="s">
        <v>1103</v>
      </c>
      <c r="G30" s="3015"/>
      <c r="H30" s="3016"/>
      <c r="J30" s="3015"/>
      <c r="K30" s="3016"/>
      <c r="L30" s="2369"/>
      <c r="M30" s="3015"/>
      <c r="N30" s="3016"/>
      <c r="P30" s="3015"/>
      <c r="Q30" s="3016"/>
      <c r="S30" s="3015"/>
      <c r="T30" s="3016"/>
      <c r="V30" s="2486"/>
      <c r="W30" s="3122"/>
      <c r="X30" s="3123"/>
    </row>
    <row r="31" spans="2:24" s="293" customFormat="1" ht="12.6" customHeight="1">
      <c r="B31" s="293" t="s">
        <v>2689</v>
      </c>
      <c r="G31" s="3015">
        <v>125000</v>
      </c>
      <c r="H31" s="3016"/>
      <c r="J31" s="3015">
        <v>125000</v>
      </c>
      <c r="K31" s="3016"/>
      <c r="L31" s="2369"/>
      <c r="M31" s="3015"/>
      <c r="N31" s="3016"/>
      <c r="P31" s="3015"/>
      <c r="Q31" s="3016"/>
      <c r="S31" s="3015"/>
      <c r="T31" s="3016"/>
      <c r="V31" s="2486"/>
      <c r="W31" s="3122"/>
      <c r="X31" s="3123"/>
    </row>
    <row r="32" spans="2:24" ht="12.6" customHeight="1" thickBot="1">
      <c r="B32" s="293" t="s">
        <v>2688</v>
      </c>
      <c r="G32" s="3157"/>
      <c r="H32" s="3158"/>
      <c r="I32" s="293"/>
      <c r="J32" s="3157"/>
      <c r="K32" s="3158"/>
      <c r="L32" s="2369"/>
      <c r="M32" s="3157"/>
      <c r="N32" s="3158"/>
      <c r="O32" s="293"/>
      <c r="P32" s="3157"/>
      <c r="Q32" s="3158"/>
      <c r="R32" s="293"/>
      <c r="S32" s="3157"/>
      <c r="T32" s="3158"/>
      <c r="V32" s="2486"/>
      <c r="W32" s="3129"/>
      <c r="X32" s="3130"/>
    </row>
    <row r="33" spans="1:24" s="293" customFormat="1" ht="12.6" customHeight="1" thickTop="1">
      <c r="C33" s="3163"/>
      <c r="D33" s="3163"/>
      <c r="E33" s="2365"/>
      <c r="F33" s="344" t="s">
        <v>187</v>
      </c>
      <c r="G33" s="3154">
        <f>SUM(G29:H32)</f>
        <v>5756140</v>
      </c>
      <c r="H33" s="3155"/>
      <c r="J33" s="3154">
        <f>SUM(J29:K32)</f>
        <v>5756140</v>
      </c>
      <c r="K33" s="3155"/>
      <c r="L33" s="2369"/>
      <c r="M33" s="3154">
        <f>SUM(M29:N32)</f>
        <v>0</v>
      </c>
      <c r="N33" s="3155"/>
      <c r="P33" s="3154">
        <f>SUM(P29:Q32)</f>
        <v>0</v>
      </c>
      <c r="Q33" s="3155"/>
      <c r="S33" s="3154">
        <f>SUM(S29:T32)</f>
        <v>0</v>
      </c>
      <c r="T33" s="3155"/>
      <c r="V33" s="2488">
        <f>SUM(V29:V32)</f>
        <v>0</v>
      </c>
      <c r="W33" s="3198"/>
      <c r="X33" s="3199"/>
    </row>
    <row r="34" spans="1:24" s="293" customFormat="1" ht="12" customHeight="1">
      <c r="B34" s="295" t="s">
        <v>2284</v>
      </c>
      <c r="D34" s="3162" t="s">
        <v>3548</v>
      </c>
      <c r="E34" s="3162"/>
      <c r="F34" s="933">
        <f>SUM(F35:F37)</f>
        <v>0.13999791469979533</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420083.39999999997</v>
      </c>
      <c r="F35" s="934">
        <f>IF(($G$27+$G$33)=0,0,G35/($G$27+$G$33))</f>
        <v>5.9999514382144119E-2</v>
      </c>
      <c r="G35" s="3004">
        <v>420080</v>
      </c>
      <c r="H35" s="3005"/>
      <c r="I35" s="311"/>
      <c r="J35" s="3004">
        <v>420080</v>
      </c>
      <c r="K35" s="3005"/>
      <c r="L35" s="2369"/>
      <c r="M35" s="3004"/>
      <c r="N35" s="3005"/>
      <c r="P35" s="3004"/>
      <c r="Q35" s="3005"/>
      <c r="S35" s="3004"/>
      <c r="T35" s="3005"/>
      <c r="V35" s="2486"/>
      <c r="W35" s="3122"/>
      <c r="X35" s="3123"/>
    </row>
    <row r="36" spans="1:24" s="293" customFormat="1" ht="12.6" customHeight="1">
      <c r="B36" s="293" t="s">
        <v>2651</v>
      </c>
      <c r="D36" s="936">
        <f>'DCA Underwriting Assumptions'!$R$78</f>
        <v>0.02</v>
      </c>
      <c r="E36" s="937">
        <f>D36*(G27+G33)</f>
        <v>140027.79999999999</v>
      </c>
      <c r="F36" s="934">
        <f>IF(($G$27+$G$33)=0,0,G36/($G$27+$G$33))</f>
        <v>1.9998885935507093E-2</v>
      </c>
      <c r="G36" s="3015">
        <v>140020</v>
      </c>
      <c r="H36" s="3016"/>
      <c r="I36" s="311"/>
      <c r="J36" s="3015">
        <v>140020</v>
      </c>
      <c r="K36" s="3016"/>
      <c r="L36" s="2369"/>
      <c r="M36" s="3015"/>
      <c r="N36" s="3016"/>
      <c r="P36" s="3015"/>
      <c r="Q36" s="3016"/>
      <c r="S36" s="3015"/>
      <c r="T36" s="3016"/>
      <c r="V36" s="2486"/>
      <c r="W36" s="3122"/>
      <c r="X36" s="3123"/>
    </row>
    <row r="37" spans="1:24" s="293" customFormat="1" ht="12.6" customHeight="1" thickBot="1">
      <c r="B37" s="293" t="s">
        <v>2652</v>
      </c>
      <c r="D37" s="940">
        <f>'DCA Underwriting Assumptions'!$R$79</f>
        <v>0.06</v>
      </c>
      <c r="E37" s="941">
        <f>D37*(G27+G33)</f>
        <v>420083.39999999997</v>
      </c>
      <c r="F37" s="1144">
        <f>IF(($G$27+$G$33)=0,0,G37/($G$27+$G$33))</f>
        <v>5.9999514382144119E-2</v>
      </c>
      <c r="G37" s="3157">
        <v>420080</v>
      </c>
      <c r="H37" s="3158"/>
      <c r="I37" s="311"/>
      <c r="J37" s="3157">
        <v>420080</v>
      </c>
      <c r="K37" s="3158"/>
      <c r="L37" s="2369"/>
      <c r="M37" s="3157"/>
      <c r="N37" s="3158"/>
      <c r="P37" s="3157"/>
      <c r="Q37" s="3158"/>
      <c r="S37" s="3157"/>
      <c r="T37" s="3158"/>
      <c r="V37" s="2486"/>
      <c r="W37" s="3129"/>
      <c r="X37" s="3130"/>
    </row>
    <row r="38" spans="1:24" s="293" customFormat="1" ht="12.6" customHeight="1" thickTop="1">
      <c r="B38" s="172" t="s">
        <v>3549</v>
      </c>
      <c r="D38" s="938">
        <f>SUM(D35:D37)</f>
        <v>0.14000000000000001</v>
      </c>
      <c r="E38" s="939">
        <f>SUM(E35:E37)</f>
        <v>980194.59999999986</v>
      </c>
      <c r="F38" s="921" t="s">
        <v>187</v>
      </c>
      <c r="G38" s="3154">
        <f>SUM(G35:H37)</f>
        <v>980180</v>
      </c>
      <c r="H38" s="3155"/>
      <c r="J38" s="3154">
        <f>SUM(J35:K37)</f>
        <v>980180</v>
      </c>
      <c r="K38" s="3155"/>
      <c r="L38" s="346"/>
      <c r="M38" s="3154">
        <f>SUM(M35:N37)</f>
        <v>0</v>
      </c>
      <c r="N38" s="3155"/>
      <c r="P38" s="3154">
        <f>SUM(P35:Q37)</f>
        <v>0</v>
      </c>
      <c r="Q38" s="3155"/>
      <c r="S38" s="3154">
        <f>SUM(S35:T37)</f>
        <v>0</v>
      </c>
      <c r="T38" s="3155"/>
      <c r="V38" s="2488">
        <f>SUM(V35:V37)</f>
        <v>0</v>
      </c>
      <c r="W38" s="3198"/>
      <c r="X38" s="3199"/>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52" t="s">
        <v>3532</v>
      </c>
      <c r="D41" s="3182"/>
      <c r="E41" s="3182"/>
      <c r="F41" s="3183"/>
      <c r="G41" s="3164"/>
      <c r="H41" s="3165"/>
      <c r="I41" s="293"/>
      <c r="J41" s="3164"/>
      <c r="K41" s="3165"/>
      <c r="L41" s="2369"/>
      <c r="M41" s="3164"/>
      <c r="N41" s="3165"/>
      <c r="O41" s="293"/>
      <c r="P41" s="3164"/>
      <c r="Q41" s="3165"/>
      <c r="R41" s="293"/>
      <c r="S41" s="3164"/>
      <c r="T41" s="3165"/>
      <c r="V41" s="2486"/>
      <c r="W41" s="3170"/>
      <c r="X41" s="317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172"/>
      <c r="X42" s="3173"/>
    </row>
    <row r="43" spans="1:24" s="293" customFormat="1" ht="12.6" customHeight="1">
      <c r="B43" s="495" t="s">
        <v>2660</v>
      </c>
      <c r="C43" s="496"/>
      <c r="E43" s="3176" t="s">
        <v>2659</v>
      </c>
      <c r="F43" s="2367">
        <f>B44/'Part VI-Revenues &amp; Expenses'!$P$65</f>
        <v>133026.16666666666</v>
      </c>
      <c r="G43" s="2368" t="s">
        <v>2680</v>
      </c>
      <c r="H43" s="2364"/>
      <c r="I43" s="2364"/>
      <c r="J43" s="3178">
        <f>B44/'Part VI-Revenues &amp; Expenses'!$P$67</f>
        <v>133026.16666666666</v>
      </c>
      <c r="K43" s="3178"/>
      <c r="L43" s="2364"/>
      <c r="M43" s="3179" t="s">
        <v>1375</v>
      </c>
      <c r="N43" s="3179"/>
      <c r="O43" s="2364"/>
      <c r="P43" s="3178">
        <f>B44/'Part I-Project Information'!$P$75</f>
        <v>117.4883344373298</v>
      </c>
      <c r="Q43" s="3178"/>
      <c r="R43" s="2364"/>
      <c r="S43" s="3180" t="s">
        <v>2687</v>
      </c>
      <c r="T43" s="3181"/>
      <c r="V43" s="1029"/>
      <c r="W43" s="3172"/>
      <c r="X43" s="3173"/>
    </row>
    <row r="44" spans="1:24" s="293" customFormat="1" ht="12.6" customHeight="1">
      <c r="B44" s="3166">
        <f>G27+G33+G38+G41</f>
        <v>7981570</v>
      </c>
      <c r="C44" s="3167"/>
      <c r="E44" s="3177"/>
      <c r="F44" s="2366">
        <f>B44/'Part VI-Revenues &amp; Expenses'!$P$168</f>
        <v>121.97521242129714</v>
      </c>
      <c r="G44" s="494" t="s">
        <v>2681</v>
      </c>
      <c r="H44" s="2360"/>
      <c r="I44" s="2360"/>
      <c r="J44" s="3168">
        <f>B44/'Part VI-Revenues &amp; Expenses'!$P$170</f>
        <v>121.97521242129714</v>
      </c>
      <c r="K44" s="3168"/>
      <c r="L44" s="2360"/>
      <c r="M44" s="3169" t="s">
        <v>2686</v>
      </c>
      <c r="N44" s="3169"/>
      <c r="O44" s="2360"/>
      <c r="P44" s="2360"/>
      <c r="Q44" s="2360"/>
      <c r="R44" s="2360"/>
      <c r="S44" s="2360"/>
      <c r="T44" s="336"/>
      <c r="V44" s="1029"/>
      <c r="W44" s="3174"/>
      <c r="X44" s="317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399078.5</v>
      </c>
      <c r="F47" s="348">
        <f>G47/B44</f>
        <v>4.9998935046613638E-2</v>
      </c>
      <c r="G47" s="3164">
        <v>399070</v>
      </c>
      <c r="H47" s="3165"/>
      <c r="I47" s="293"/>
      <c r="J47" s="3164">
        <v>399070</v>
      </c>
      <c r="K47" s="3165"/>
      <c r="L47" s="2369"/>
      <c r="M47" s="3164"/>
      <c r="N47" s="3165"/>
      <c r="O47" s="293"/>
      <c r="P47" s="3164"/>
      <c r="Q47" s="3165"/>
      <c r="R47" s="293"/>
      <c r="S47" s="3164"/>
      <c r="T47" s="3165"/>
      <c r="V47" s="2486"/>
      <c r="W47" s="3122"/>
      <c r="X47" s="31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7"/>
      <c r="I49" s="2357"/>
      <c r="J49" s="3142" t="s">
        <v>266</v>
      </c>
      <c r="K49" s="3143"/>
      <c r="L49" s="343"/>
      <c r="M49" s="3146" t="s">
        <v>479</v>
      </c>
      <c r="N49" s="3147"/>
      <c r="P49" s="3142" t="s">
        <v>267</v>
      </c>
      <c r="Q49" s="3143"/>
      <c r="S49" s="3142" t="s">
        <v>268</v>
      </c>
      <c r="T49" s="3143"/>
      <c r="V49" s="1029"/>
      <c r="W49" s="419" t="str">
        <f>B49</f>
        <v>DEVELOPMENT BUDGET (cont'd)</v>
      </c>
    </row>
    <row r="50" spans="1:24" s="293" customFormat="1" ht="18.75" customHeight="1" thickBot="1">
      <c r="G50" s="3150" t="s">
        <v>98</v>
      </c>
      <c r="H50" s="3151"/>
      <c r="J50" s="3144"/>
      <c r="K50" s="3145"/>
      <c r="L50" s="343"/>
      <c r="M50" s="3148"/>
      <c r="N50" s="3149"/>
      <c r="P50" s="3144"/>
      <c r="Q50" s="3145"/>
      <c r="S50" s="3144"/>
      <c r="T50" s="3145"/>
      <c r="V50" s="1029"/>
      <c r="W50" s="3247" t="s">
        <v>2607</v>
      </c>
      <c r="X50" s="324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004"/>
      <c r="H52" s="3005"/>
      <c r="J52" s="3004"/>
      <c r="K52" s="3005"/>
      <c r="L52" s="2369"/>
      <c r="M52" s="3004"/>
      <c r="N52" s="3005"/>
      <c r="P52" s="3004"/>
      <c r="Q52" s="3005"/>
      <c r="S52" s="3004"/>
      <c r="T52" s="3005"/>
      <c r="V52" s="2489"/>
      <c r="W52" s="3122"/>
      <c r="X52" s="3123"/>
    </row>
    <row r="53" spans="1:24" s="293" customFormat="1" ht="12" customHeight="1">
      <c r="B53" s="293" t="s">
        <v>3551</v>
      </c>
      <c r="G53" s="3015"/>
      <c r="H53" s="3016"/>
      <c r="J53" s="3015"/>
      <c r="K53" s="3016"/>
      <c r="L53" s="2369"/>
      <c r="M53" s="3015"/>
      <c r="N53" s="3016"/>
      <c r="P53" s="3015"/>
      <c r="Q53" s="3016"/>
      <c r="S53" s="3015"/>
      <c r="T53" s="3016"/>
      <c r="V53" s="2489"/>
      <c r="W53" s="3122"/>
      <c r="X53" s="3123"/>
    </row>
    <row r="54" spans="1:24" s="293" customFormat="1" ht="12" customHeight="1">
      <c r="B54" s="293" t="s">
        <v>2287</v>
      </c>
      <c r="G54" s="3015">
        <v>103437</v>
      </c>
      <c r="H54" s="3016"/>
      <c r="J54" s="3015">
        <v>103437</v>
      </c>
      <c r="K54" s="3016"/>
      <c r="L54" s="2369"/>
      <c r="M54" s="3015"/>
      <c r="N54" s="3016"/>
      <c r="P54" s="3015"/>
      <c r="Q54" s="3016"/>
      <c r="S54" s="3015"/>
      <c r="T54" s="3016"/>
      <c r="V54" s="2489"/>
      <c r="W54" s="3122"/>
      <c r="X54" s="3123"/>
    </row>
    <row r="55" spans="1:24" s="293" customFormat="1" ht="12" customHeight="1">
      <c r="B55" s="293" t="s">
        <v>2288</v>
      </c>
      <c r="G55" s="3015">
        <v>224761</v>
      </c>
      <c r="H55" s="3016"/>
      <c r="J55" s="3015">
        <v>224761</v>
      </c>
      <c r="K55" s="3016"/>
      <c r="L55" s="2369"/>
      <c r="M55" s="3015"/>
      <c r="N55" s="3016"/>
      <c r="P55" s="3015"/>
      <c r="Q55" s="3016"/>
      <c r="S55" s="3015"/>
      <c r="T55" s="3016"/>
      <c r="V55" s="2489"/>
      <c r="W55" s="3122"/>
      <c r="X55" s="3123"/>
    </row>
    <row r="56" spans="1:24" s="293" customFormat="1" ht="12" customHeight="1">
      <c r="B56" s="293" t="s">
        <v>2289</v>
      </c>
      <c r="G56" s="3015">
        <v>25000</v>
      </c>
      <c r="H56" s="3016"/>
      <c r="J56" s="3015">
        <v>25000</v>
      </c>
      <c r="K56" s="3016"/>
      <c r="L56" s="2369"/>
      <c r="M56" s="3015"/>
      <c r="N56" s="3016"/>
      <c r="P56" s="3015"/>
      <c r="Q56" s="3016"/>
      <c r="S56" s="3015"/>
      <c r="T56" s="3016"/>
      <c r="V56" s="2489"/>
      <c r="W56" s="3122"/>
      <c r="X56" s="3123"/>
    </row>
    <row r="57" spans="1:24" s="293" customFormat="1" ht="12" customHeight="1">
      <c r="B57" s="293" t="s">
        <v>2610</v>
      </c>
      <c r="G57" s="3015">
        <v>14500</v>
      </c>
      <c r="H57" s="3016"/>
      <c r="J57" s="3015">
        <v>14500</v>
      </c>
      <c r="K57" s="3016"/>
      <c r="L57" s="2369"/>
      <c r="M57" s="3015"/>
      <c r="N57" s="3016"/>
      <c r="P57" s="3015"/>
      <c r="Q57" s="3016"/>
      <c r="S57" s="3015"/>
      <c r="T57" s="3016"/>
      <c r="V57" s="2489"/>
      <c r="W57" s="3122"/>
      <c r="X57" s="3123"/>
    </row>
    <row r="58" spans="1:24" s="293" customFormat="1" ht="12" customHeight="1">
      <c r="B58" s="293" t="s">
        <v>705</v>
      </c>
      <c r="G58" s="3015">
        <v>5000</v>
      </c>
      <c r="H58" s="3016"/>
      <c r="J58" s="3015">
        <v>0</v>
      </c>
      <c r="K58" s="3016"/>
      <c r="L58" s="2369"/>
      <c r="M58" s="3015"/>
      <c r="N58" s="3016"/>
      <c r="P58" s="3015"/>
      <c r="Q58" s="3016"/>
      <c r="S58" s="3015">
        <v>5000</v>
      </c>
      <c r="T58" s="3016"/>
      <c r="V58" s="2489"/>
      <c r="W58" s="3122"/>
      <c r="X58" s="3123"/>
    </row>
    <row r="59" spans="1:24" s="293" customFormat="1" ht="12" customHeight="1">
      <c r="B59" s="293" t="s">
        <v>2290</v>
      </c>
      <c r="G59" s="3015">
        <v>60000</v>
      </c>
      <c r="H59" s="3016"/>
      <c r="J59" s="3015">
        <v>60000</v>
      </c>
      <c r="K59" s="3016"/>
      <c r="L59" s="2369"/>
      <c r="M59" s="3015"/>
      <c r="N59" s="3016"/>
      <c r="P59" s="3015"/>
      <c r="Q59" s="3016"/>
      <c r="S59" s="3015"/>
      <c r="T59" s="3016"/>
      <c r="V59" s="2489"/>
      <c r="W59" s="3122"/>
      <c r="X59" s="3123"/>
    </row>
    <row r="60" spans="1:24" s="293" customFormat="1" ht="12" customHeight="1">
      <c r="B60" s="293" t="s">
        <v>1250</v>
      </c>
      <c r="G60" s="3015">
        <v>50000</v>
      </c>
      <c r="H60" s="3016"/>
      <c r="J60" s="3015">
        <v>50000</v>
      </c>
      <c r="K60" s="3016"/>
      <c r="L60" s="2369"/>
      <c r="M60" s="3015"/>
      <c r="N60" s="3016"/>
      <c r="P60" s="3015"/>
      <c r="Q60" s="3016"/>
      <c r="S60" s="3015"/>
      <c r="T60" s="3016"/>
      <c r="V60" s="2489"/>
      <c r="W60" s="3122"/>
      <c r="X60" s="3123"/>
    </row>
    <row r="61" spans="1:24" s="293" customFormat="1" ht="12" customHeight="1">
      <c r="B61" s="350" t="s">
        <v>1131</v>
      </c>
      <c r="D61" s="348"/>
      <c r="E61" s="348"/>
      <c r="F61" s="349"/>
      <c r="G61" s="3015"/>
      <c r="H61" s="3016"/>
      <c r="I61" s="311"/>
      <c r="J61" s="3015"/>
      <c r="K61" s="3016"/>
      <c r="L61" s="2369"/>
      <c r="M61" s="3015"/>
      <c r="N61" s="3016"/>
      <c r="P61" s="3015"/>
      <c r="Q61" s="3016"/>
      <c r="S61" s="3015"/>
      <c r="T61" s="3016"/>
      <c r="V61" s="2489"/>
      <c r="W61" s="3122"/>
      <c r="X61" s="3123"/>
    </row>
    <row r="62" spans="1:24" s="293" customFormat="1" ht="12" customHeight="1">
      <c r="A62" s="370" t="str">
        <f>IF(AND(G62&gt;0,OR(C62="",C62="&lt;Enter detailed description here; use Comments section if needed&gt;")),"X","")</f>
        <v/>
      </c>
      <c r="B62" s="293" t="s">
        <v>723</v>
      </c>
      <c r="C62" s="3186" t="s">
        <v>3532</v>
      </c>
      <c r="D62" s="3186"/>
      <c r="E62" s="3186"/>
      <c r="F62" s="3187"/>
      <c r="G62" s="3015"/>
      <c r="H62" s="3016"/>
      <c r="J62" s="3015"/>
      <c r="K62" s="3016"/>
      <c r="L62" s="2369"/>
      <c r="M62" s="3015"/>
      <c r="N62" s="3016"/>
      <c r="P62" s="3015"/>
      <c r="Q62" s="3016"/>
      <c r="S62" s="3015"/>
      <c r="T62" s="3016"/>
      <c r="U62" s="369" t="str">
        <f>IF(AND(G62&gt;0,OR(C62="",C62="&lt;Enter detailed description here; use Comments section if needed&gt;")),"NO DESCRIPTION PROVIDED - please enter detailed description in Other box at left; use Comments section below if needed.","")</f>
        <v/>
      </c>
      <c r="V62" s="2489"/>
      <c r="W62" s="3122"/>
      <c r="X62" s="3123"/>
    </row>
    <row r="63" spans="1:24" s="293" customFormat="1" ht="12" customHeight="1" thickBot="1">
      <c r="A63" s="370" t="str">
        <f>IF(AND(G63&gt;0,OR(C63="",C63="&lt;Enter detailed description here; use Comments section if needed&gt;")),"X","")</f>
        <v/>
      </c>
      <c r="B63" s="293" t="s">
        <v>723</v>
      </c>
      <c r="C63" s="3184" t="s">
        <v>3532</v>
      </c>
      <c r="D63" s="3184"/>
      <c r="E63" s="3184"/>
      <c r="F63" s="3185"/>
      <c r="G63" s="2968"/>
      <c r="H63" s="2969"/>
      <c r="J63" s="2968"/>
      <c r="K63" s="2969"/>
      <c r="L63" s="2369"/>
      <c r="M63" s="2968"/>
      <c r="N63" s="2969"/>
      <c r="P63" s="2968"/>
      <c r="Q63" s="2969"/>
      <c r="S63" s="2968"/>
      <c r="T63" s="2969"/>
      <c r="U63" s="369" t="str">
        <f>IF(AND(G63&gt;0,OR(C63="",C63="&lt;Enter detailed description here; use Comments section if needed&gt;")),"NO DESCRIPTION PROVIDED - please enter detailed description in Other box at left; use Comments section below if needed.","")</f>
        <v/>
      </c>
      <c r="V63" s="2489"/>
      <c r="W63" s="3129"/>
      <c r="X63" s="3130"/>
    </row>
    <row r="64" spans="1:24" s="293" customFormat="1" ht="12" customHeight="1" thickTop="1">
      <c r="F64" s="344" t="s">
        <v>187</v>
      </c>
      <c r="G64" s="3154">
        <f>SUM(G52:H63)</f>
        <v>482698</v>
      </c>
      <c r="H64" s="3155"/>
      <c r="J64" s="3154">
        <f>SUM(J52:K63)</f>
        <v>477698</v>
      </c>
      <c r="K64" s="3155"/>
      <c r="L64" s="346"/>
      <c r="M64" s="3154">
        <f>SUM(M52:N63)</f>
        <v>0</v>
      </c>
      <c r="N64" s="3155"/>
      <c r="P64" s="3154">
        <f>SUM(P52:Q63)</f>
        <v>0</v>
      </c>
      <c r="Q64" s="3155"/>
      <c r="S64" s="3154">
        <f>SUM(S52:T63)</f>
        <v>5000</v>
      </c>
      <c r="T64" s="3155"/>
      <c r="V64" s="2490">
        <f>SUM(V52:V63)</f>
        <v>0</v>
      </c>
      <c r="W64" s="3198"/>
      <c r="X64" s="3199"/>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004">
        <v>120000</v>
      </c>
      <c r="H66" s="3005"/>
      <c r="J66" s="3004">
        <v>120000</v>
      </c>
      <c r="K66" s="3005"/>
      <c r="L66" s="2369"/>
      <c r="M66" s="3004"/>
      <c r="N66" s="3005"/>
      <c r="P66" s="3004"/>
      <c r="Q66" s="3005"/>
      <c r="S66" s="3004"/>
      <c r="T66" s="3005"/>
      <c r="V66" s="2486"/>
      <c r="W66" s="3122"/>
      <c r="X66" s="3123"/>
    </row>
    <row r="67" spans="1:24" s="293" customFormat="1" ht="12" customHeight="1">
      <c r="B67" s="293" t="s">
        <v>469</v>
      </c>
      <c r="G67" s="3015">
        <v>12000</v>
      </c>
      <c r="H67" s="3016"/>
      <c r="J67" s="3015">
        <v>12000</v>
      </c>
      <c r="K67" s="3016"/>
      <c r="L67" s="2369"/>
      <c r="M67" s="3015"/>
      <c r="N67" s="3016"/>
      <c r="P67" s="3015"/>
      <c r="Q67" s="3016"/>
      <c r="S67" s="3015"/>
      <c r="T67" s="3016"/>
      <c r="V67" s="2486"/>
      <c r="W67" s="3122"/>
      <c r="X67" s="3123"/>
    </row>
    <row r="68" spans="1:24" s="293" customFormat="1" ht="12" customHeight="1">
      <c r="B68" s="293" t="s">
        <v>1105</v>
      </c>
      <c r="D68" s="305" t="s">
        <v>3633</v>
      </c>
      <c r="E68" s="1021">
        <f>'DCA Underwriting Assumptions'!R80</f>
        <v>20000</v>
      </c>
      <c r="F68" s="1022" t="str">
        <f>IF(G68&gt;E68,"CHECK!!!","")</f>
        <v/>
      </c>
      <c r="G68" s="3015"/>
      <c r="H68" s="3016"/>
      <c r="J68" s="3015"/>
      <c r="K68" s="3016"/>
      <c r="L68" s="2369"/>
      <c r="M68" s="3015"/>
      <c r="N68" s="3016"/>
      <c r="P68" s="3015"/>
      <c r="Q68" s="3016"/>
      <c r="S68" s="3015"/>
      <c r="T68" s="3016"/>
      <c r="V68" s="2486"/>
      <c r="W68" s="3122"/>
      <c r="X68" s="3123"/>
    </row>
    <row r="69" spans="1:24" s="293" customFormat="1" ht="12" customHeight="1">
      <c r="B69" s="293" t="s">
        <v>1106</v>
      </c>
      <c r="G69" s="3015">
        <v>39500</v>
      </c>
      <c r="H69" s="3016"/>
      <c r="J69" s="3015">
        <v>39500</v>
      </c>
      <c r="K69" s="3016"/>
      <c r="L69" s="2369"/>
      <c r="M69" s="3015"/>
      <c r="N69" s="3016"/>
      <c r="P69" s="3015"/>
      <c r="Q69" s="3016"/>
      <c r="S69" s="3015"/>
      <c r="T69" s="3016"/>
      <c r="V69" s="2486"/>
      <c r="W69" s="3122"/>
      <c r="X69" s="3123"/>
    </row>
    <row r="70" spans="1:24" s="293" customFormat="1" ht="12" customHeight="1">
      <c r="B70" s="293" t="s">
        <v>1107</v>
      </c>
      <c r="G70" s="3015">
        <v>20000</v>
      </c>
      <c r="H70" s="3016"/>
      <c r="J70" s="3015">
        <v>20000</v>
      </c>
      <c r="K70" s="3016"/>
      <c r="L70" s="2369"/>
      <c r="M70" s="3015"/>
      <c r="N70" s="3016"/>
      <c r="P70" s="3015"/>
      <c r="Q70" s="3016"/>
      <c r="S70" s="3015"/>
      <c r="T70" s="3016"/>
      <c r="V70" s="2486"/>
      <c r="W70" s="3122"/>
      <c r="X70" s="3123"/>
    </row>
    <row r="71" spans="1:24" s="293" customFormat="1" ht="12" customHeight="1">
      <c r="B71" s="293" t="s">
        <v>1108</v>
      </c>
      <c r="G71" s="3015"/>
      <c r="H71" s="3016"/>
      <c r="J71" s="3015"/>
      <c r="K71" s="3016"/>
      <c r="L71" s="2369"/>
      <c r="M71" s="3015"/>
      <c r="N71" s="3016"/>
      <c r="P71" s="3015"/>
      <c r="Q71" s="3016"/>
      <c r="S71" s="3015"/>
      <c r="T71" s="3016"/>
      <c r="V71" s="2486"/>
      <c r="W71" s="3122"/>
      <c r="X71" s="3123"/>
    </row>
    <row r="72" spans="1:24" s="293" customFormat="1" ht="12" customHeight="1">
      <c r="B72" s="293" t="s">
        <v>470</v>
      </c>
      <c r="G72" s="3015">
        <v>45000</v>
      </c>
      <c r="H72" s="3016"/>
      <c r="J72" s="3015">
        <v>45000</v>
      </c>
      <c r="K72" s="3016"/>
      <c r="L72" s="2369"/>
      <c r="M72" s="3015"/>
      <c r="N72" s="3016"/>
      <c r="P72" s="3015"/>
      <c r="Q72" s="3016"/>
      <c r="S72" s="3015"/>
      <c r="T72" s="3016"/>
      <c r="V72" s="2486"/>
      <c r="W72" s="3122"/>
      <c r="X72" s="3123"/>
    </row>
    <row r="73" spans="1:24" s="293" customFormat="1" ht="12" customHeight="1">
      <c r="B73" s="293" t="s">
        <v>471</v>
      </c>
      <c r="G73" s="3015">
        <v>70000</v>
      </c>
      <c r="H73" s="3016"/>
      <c r="J73" s="3015">
        <v>63000</v>
      </c>
      <c r="K73" s="3016"/>
      <c r="L73" s="2369"/>
      <c r="M73" s="3015"/>
      <c r="N73" s="3016"/>
      <c r="P73" s="3015"/>
      <c r="Q73" s="3016"/>
      <c r="S73" s="3015">
        <v>7000</v>
      </c>
      <c r="T73" s="3016"/>
      <c r="V73" s="2486"/>
      <c r="W73" s="3122"/>
      <c r="X73" s="3123"/>
    </row>
    <row r="74" spans="1:24" s="293" customFormat="1" ht="12" customHeight="1">
      <c r="B74" s="293" t="s">
        <v>2001</v>
      </c>
      <c r="G74" s="3015">
        <v>25000</v>
      </c>
      <c r="H74" s="3016"/>
      <c r="J74" s="3015">
        <v>22500</v>
      </c>
      <c r="K74" s="3016"/>
      <c r="L74" s="2369"/>
      <c r="M74" s="3015"/>
      <c r="N74" s="3016"/>
      <c r="P74" s="3015"/>
      <c r="Q74" s="3016"/>
      <c r="S74" s="3015">
        <v>2500</v>
      </c>
      <c r="T74" s="3016"/>
      <c r="V74" s="2486"/>
      <c r="W74" s="3122"/>
      <c r="X74" s="3123"/>
    </row>
    <row r="75" spans="1:24" s="293" customFormat="1" ht="12" customHeight="1">
      <c r="B75" s="293" t="s">
        <v>1251</v>
      </c>
      <c r="G75" s="3015">
        <v>8000</v>
      </c>
      <c r="H75" s="3016"/>
      <c r="J75" s="3015">
        <v>8000</v>
      </c>
      <c r="K75" s="3016"/>
      <c r="L75" s="2369"/>
      <c r="M75" s="3015"/>
      <c r="N75" s="3016"/>
      <c r="P75" s="3015"/>
      <c r="Q75" s="3016"/>
      <c r="S75" s="3015"/>
      <c r="T75" s="3016"/>
      <c r="V75" s="2486"/>
      <c r="W75" s="3122"/>
      <c r="X75" s="3123"/>
    </row>
    <row r="76" spans="1:24" s="293" customFormat="1" ht="12" customHeight="1" thickBot="1">
      <c r="A76" s="370" t="str">
        <f>IF(AND(G76&gt;0,OR(C76="",C76="&lt;Enter detailed description here; use Comments section if needed&gt;")),"X","")</f>
        <v/>
      </c>
      <c r="B76" s="293" t="s">
        <v>723</v>
      </c>
      <c r="C76" s="3152" t="s">
        <v>3532</v>
      </c>
      <c r="D76" s="3152"/>
      <c r="E76" s="3152"/>
      <c r="F76" s="3153"/>
      <c r="G76" s="2968"/>
      <c r="H76" s="2969"/>
      <c r="J76" s="2968"/>
      <c r="K76" s="2969"/>
      <c r="L76" s="2369"/>
      <c r="M76" s="2968"/>
      <c r="N76" s="2969"/>
      <c r="P76" s="2968"/>
      <c r="Q76" s="2969"/>
      <c r="S76" s="2968"/>
      <c r="T76" s="2969"/>
      <c r="U76" s="369" t="str">
        <f>IF(AND(G76&gt;0,OR(C76="",C76="&lt;Enter detailed description here; use Comments section if needed&gt;")),"NO DESCRIPTION PROVIDED - please enter detailed description in Other box at left; use Comments section below if needed.","")</f>
        <v/>
      </c>
      <c r="V76" s="2486"/>
      <c r="W76" s="3129"/>
      <c r="X76" s="3130"/>
    </row>
    <row r="77" spans="1:24" s="293" customFormat="1" ht="12" customHeight="1" thickTop="1">
      <c r="F77" s="344" t="s">
        <v>187</v>
      </c>
      <c r="G77" s="3154">
        <f>SUM(G66:H76)</f>
        <v>339500</v>
      </c>
      <c r="H77" s="3155"/>
      <c r="J77" s="3154">
        <f>SUM(J66:K76)</f>
        <v>330000</v>
      </c>
      <c r="K77" s="3155"/>
      <c r="L77" s="346"/>
      <c r="M77" s="3154">
        <f>SUM(M66:N76)</f>
        <v>0</v>
      </c>
      <c r="N77" s="3155"/>
      <c r="P77" s="3154">
        <f>SUM(P66:Q76)</f>
        <v>0</v>
      </c>
      <c r="Q77" s="3155"/>
      <c r="S77" s="3154">
        <f>SUM(S66:T76)</f>
        <v>9500</v>
      </c>
      <c r="T77" s="3155"/>
      <c r="V77" s="2488">
        <f>SUM(V66:V76)</f>
        <v>0</v>
      </c>
      <c r="W77" s="3198"/>
      <c r="X77" s="3199"/>
    </row>
    <row r="78" spans="1:24" ht="12" customHeight="1">
      <c r="A78" s="293"/>
      <c r="B78" s="295" t="s">
        <v>1243</v>
      </c>
      <c r="C78" s="293"/>
      <c r="D78" s="866" t="s">
        <v>3552</v>
      </c>
      <c r="E78" s="943">
        <f>G83/'Part VI-Revenues &amp; Expenses'!$P$67</f>
        <v>1410.4166666666667</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004">
        <v>16624</v>
      </c>
      <c r="H79" s="3005"/>
      <c r="J79" s="3004">
        <v>16624</v>
      </c>
      <c r="K79" s="3005"/>
      <c r="L79" s="2369"/>
      <c r="M79" s="3004"/>
      <c r="N79" s="3005"/>
      <c r="P79" s="3004"/>
      <c r="Q79" s="3005"/>
      <c r="S79" s="3004"/>
      <c r="T79" s="3005"/>
      <c r="V79" s="2486"/>
      <c r="W79" s="3122"/>
      <c r="X79" s="3123"/>
    </row>
    <row r="80" spans="1:24" s="293" customFormat="1" ht="12" customHeight="1">
      <c r="B80" s="293" t="s">
        <v>1245</v>
      </c>
      <c r="G80" s="3015"/>
      <c r="H80" s="3016"/>
      <c r="J80" s="3015"/>
      <c r="K80" s="3016"/>
      <c r="L80" s="2369"/>
      <c r="M80" s="3015"/>
      <c r="N80" s="3016"/>
      <c r="P80" s="3015"/>
      <c r="Q80" s="3016"/>
      <c r="S80" s="3015"/>
      <c r="T80" s="3016"/>
      <c r="V80" s="2486"/>
      <c r="W80" s="3122"/>
      <c r="X80" s="3123"/>
    </row>
    <row r="81" spans="1:24" s="293" customFormat="1" ht="12" customHeight="1">
      <c r="B81" s="293" t="s">
        <v>1246</v>
      </c>
      <c r="D81" s="352" t="s">
        <v>1376</v>
      </c>
      <c r="E81" s="2491" t="s">
        <v>2889</v>
      </c>
      <c r="G81" s="3015">
        <v>67100</v>
      </c>
      <c r="H81" s="3016"/>
      <c r="I81" s="311"/>
      <c r="J81" s="3015">
        <v>67100</v>
      </c>
      <c r="K81" s="3016"/>
      <c r="L81" s="2369"/>
      <c r="M81" s="3015"/>
      <c r="N81" s="3016"/>
      <c r="P81" s="3015"/>
      <c r="Q81" s="3016"/>
      <c r="S81" s="3015"/>
      <c r="T81" s="3016"/>
      <c r="V81" s="2486"/>
      <c r="W81" s="3122"/>
      <c r="X81" s="3123"/>
    </row>
    <row r="82" spans="1:24" s="293" customFormat="1" ht="12" customHeight="1" thickBot="1">
      <c r="B82" s="293" t="s">
        <v>1247</v>
      </c>
      <c r="D82" s="352" t="s">
        <v>1376</v>
      </c>
      <c r="E82" s="2492" t="s">
        <v>2889</v>
      </c>
      <c r="G82" s="2968">
        <v>901</v>
      </c>
      <c r="H82" s="2969"/>
      <c r="I82" s="311"/>
      <c r="J82" s="2968">
        <v>901</v>
      </c>
      <c r="K82" s="2969"/>
      <c r="L82" s="2369"/>
      <c r="M82" s="2968"/>
      <c r="N82" s="2969"/>
      <c r="P82" s="2968"/>
      <c r="Q82" s="2969"/>
      <c r="S82" s="2968"/>
      <c r="T82" s="2969"/>
      <c r="V82" s="2486"/>
      <c r="W82" s="3129"/>
      <c r="X82" s="3130"/>
    </row>
    <row r="83" spans="1:24" s="293" customFormat="1" ht="12" customHeight="1" thickTop="1">
      <c r="F83" s="344" t="s">
        <v>187</v>
      </c>
      <c r="G83" s="3154">
        <f>SUM(G79:H82)</f>
        <v>84625</v>
      </c>
      <c r="H83" s="3155"/>
      <c r="J83" s="3154">
        <f>SUM(J79:K82)</f>
        <v>84625</v>
      </c>
      <c r="K83" s="3155"/>
      <c r="L83" s="346"/>
      <c r="M83" s="3154">
        <f>SUM(M79:N82)</f>
        <v>0</v>
      </c>
      <c r="N83" s="3155"/>
      <c r="P83" s="3154">
        <f>SUM(P79:Q82)</f>
        <v>0</v>
      </c>
      <c r="Q83" s="3155"/>
      <c r="S83" s="3154">
        <f>SUM(S79:T82)</f>
        <v>0</v>
      </c>
      <c r="T83" s="3155"/>
      <c r="V83" s="2488">
        <f>SUM(V79:V82)</f>
        <v>0</v>
      </c>
      <c r="W83" s="3198"/>
      <c r="X83" s="3199"/>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004">
        <v>6000</v>
      </c>
      <c r="H85" s="3005"/>
      <c r="J85" s="3188"/>
      <c r="K85" s="3188"/>
      <c r="L85" s="2369"/>
      <c r="M85" s="3188"/>
      <c r="N85" s="3188"/>
      <c r="P85" s="3188"/>
      <c r="Q85" s="3188"/>
      <c r="S85" s="3004">
        <v>6000</v>
      </c>
      <c r="T85" s="3005"/>
      <c r="V85" s="2486"/>
      <c r="W85" s="3122"/>
      <c r="X85" s="3123"/>
    </row>
    <row r="86" spans="1:24" s="293" customFormat="1" ht="12" customHeight="1">
      <c r="B86" s="293" t="s">
        <v>1249</v>
      </c>
      <c r="G86" s="3015">
        <v>15000</v>
      </c>
      <c r="H86" s="3016"/>
      <c r="J86" s="3188"/>
      <c r="K86" s="3188"/>
      <c r="L86" s="2369"/>
      <c r="M86" s="3188"/>
      <c r="N86" s="3188"/>
      <c r="P86" s="3188"/>
      <c r="Q86" s="3188"/>
      <c r="S86" s="3015">
        <v>15000</v>
      </c>
      <c r="T86" s="3016"/>
      <c r="V86" s="2486"/>
      <c r="W86" s="3122"/>
      <c r="X86" s="3123"/>
    </row>
    <row r="87" spans="1:24" s="293" customFormat="1" ht="12" customHeight="1">
      <c r="B87" s="293" t="s">
        <v>1250</v>
      </c>
      <c r="G87" s="3015">
        <v>5000</v>
      </c>
      <c r="H87" s="3016"/>
      <c r="J87" s="3188"/>
      <c r="K87" s="3188"/>
      <c r="L87" s="2369"/>
      <c r="M87" s="3188"/>
      <c r="N87" s="3188"/>
      <c r="P87" s="3188"/>
      <c r="Q87" s="3188"/>
      <c r="S87" s="3015">
        <v>5000</v>
      </c>
      <c r="T87" s="3016"/>
      <c r="V87" s="2486"/>
      <c r="W87" s="3122"/>
      <c r="X87" s="3123"/>
    </row>
    <row r="88" spans="1:24" s="293" customFormat="1" ht="12" customHeight="1">
      <c r="B88" s="293" t="s">
        <v>1252</v>
      </c>
      <c r="G88" s="3015"/>
      <c r="H88" s="3016"/>
      <c r="J88" s="3188"/>
      <c r="K88" s="3188"/>
      <c r="L88" s="2369"/>
      <c r="M88" s="3188"/>
      <c r="N88" s="3188"/>
      <c r="P88" s="3188"/>
      <c r="Q88" s="3188"/>
      <c r="S88" s="3015"/>
      <c r="T88" s="3016"/>
      <c r="V88" s="2486"/>
      <c r="W88" s="3122"/>
      <c r="X88" s="3123"/>
    </row>
    <row r="89" spans="1:24" s="293" customFormat="1" ht="12" customHeight="1">
      <c r="B89" s="293" t="s">
        <v>2240</v>
      </c>
      <c r="G89" s="3015"/>
      <c r="H89" s="3016"/>
      <c r="J89" s="3188"/>
      <c r="K89" s="3188"/>
      <c r="L89" s="2369"/>
      <c r="M89" s="3188"/>
      <c r="N89" s="3188"/>
      <c r="P89" s="3188"/>
      <c r="Q89" s="3188"/>
      <c r="S89" s="3015"/>
      <c r="T89" s="3016"/>
      <c r="V89" s="2486"/>
      <c r="W89" s="3122"/>
      <c r="X89" s="3123"/>
    </row>
    <row r="90" spans="1:24" s="293" customFormat="1" ht="12" customHeight="1" thickBot="1">
      <c r="A90" s="370" t="str">
        <f>IF(AND(G90&gt;0,OR(C90="",C90="&lt;Enter detailed description here; use Comments section if needed&gt;")),"X","")</f>
        <v/>
      </c>
      <c r="B90" s="293" t="s">
        <v>723</v>
      </c>
      <c r="C90" s="3152" t="s">
        <v>7114</v>
      </c>
      <c r="D90" s="3152"/>
      <c r="E90" s="3152"/>
      <c r="F90" s="3153"/>
      <c r="G90" s="2968">
        <v>16200</v>
      </c>
      <c r="H90" s="2969"/>
      <c r="J90" s="3188"/>
      <c r="K90" s="3188"/>
      <c r="L90" s="2369"/>
      <c r="M90" s="3188"/>
      <c r="N90" s="3188"/>
      <c r="P90" s="3188"/>
      <c r="Q90" s="3188"/>
      <c r="S90" s="2968">
        <v>16200</v>
      </c>
      <c r="T90" s="2969"/>
      <c r="U90" s="369" t="str">
        <f>IF(AND(G90&gt;0,OR(C90="",C90="&lt;Enter detailed description here; use Comments section if needed&gt;")),"NO DESCRIPTION PROVIDED - please enter detailed description in Other box at left; use Comments section below if needed.","")</f>
        <v/>
      </c>
      <c r="V90" s="2486"/>
      <c r="W90" s="3129"/>
      <c r="X90" s="3130"/>
    </row>
    <row r="91" spans="1:24" s="293" customFormat="1" ht="12" customHeight="1" thickTop="1">
      <c r="F91" s="344" t="s">
        <v>187</v>
      </c>
      <c r="G91" s="3154">
        <f>SUM(G85:H90)</f>
        <v>42200</v>
      </c>
      <c r="H91" s="3155"/>
      <c r="J91" s="3188"/>
      <c r="K91" s="3188"/>
      <c r="L91" s="346"/>
      <c r="M91" s="3188"/>
      <c r="N91" s="3188"/>
      <c r="P91" s="3188"/>
      <c r="Q91" s="3188"/>
      <c r="S91" s="3154">
        <f>SUM(S85:T90)</f>
        <v>42200</v>
      </c>
      <c r="T91" s="3155"/>
      <c r="V91" s="2488">
        <f>SUM(V85:V90)</f>
        <v>0</v>
      </c>
      <c r="W91" s="3198"/>
      <c r="X91" s="3199"/>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7"/>
      <c r="I93" s="2357"/>
      <c r="J93" s="3142" t="s">
        <v>266</v>
      </c>
      <c r="K93" s="3143"/>
      <c r="L93" s="343"/>
      <c r="M93" s="3146" t="s">
        <v>479</v>
      </c>
      <c r="N93" s="3147"/>
      <c r="P93" s="3142" t="s">
        <v>267</v>
      </c>
      <c r="Q93" s="3143"/>
      <c r="S93" s="3142" t="s">
        <v>268</v>
      </c>
      <c r="T93" s="3143"/>
      <c r="V93" s="419" t="str">
        <f>B93</f>
        <v>DEVELOPMENT BUDGET  (cont'd)</v>
      </c>
    </row>
    <row r="94" spans="1:24" s="293" customFormat="1" ht="18" customHeight="1" thickBot="1">
      <c r="G94" s="3150" t="s">
        <v>98</v>
      </c>
      <c r="H94" s="3151"/>
      <c r="J94" s="3144"/>
      <c r="K94" s="3145"/>
      <c r="L94" s="343"/>
      <c r="M94" s="3148"/>
      <c r="N94" s="3149"/>
      <c r="P94" s="3144"/>
      <c r="Q94" s="3145"/>
      <c r="S94" s="3144"/>
      <c r="T94" s="3145"/>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04"/>
      <c r="H96" s="3005"/>
      <c r="J96" s="346"/>
      <c r="K96" s="346"/>
      <c r="L96" s="2369"/>
      <c r="M96" s="346"/>
      <c r="N96" s="346"/>
      <c r="P96" s="346"/>
      <c r="Q96" s="346"/>
      <c r="S96" s="3004"/>
      <c r="T96" s="3005"/>
      <c r="V96" s="2486"/>
      <c r="W96" s="3122"/>
      <c r="X96" s="31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5">
        <v>5500</v>
      </c>
      <c r="H97" s="3016"/>
      <c r="J97" s="346"/>
      <c r="K97" s="346"/>
      <c r="L97" s="353"/>
      <c r="M97" s="346"/>
      <c r="N97" s="346"/>
      <c r="P97" s="346"/>
      <c r="Q97" s="346"/>
      <c r="S97" s="3015">
        <v>5500</v>
      </c>
      <c r="T97" s="3016"/>
      <c r="V97" s="2486"/>
      <c r="W97" s="3122"/>
      <c r="X97" s="3123"/>
    </row>
    <row r="98" spans="1:37" s="293" customFormat="1" ht="12.6" customHeight="1">
      <c r="B98" s="293" t="s">
        <v>3701</v>
      </c>
      <c r="G98" s="3015">
        <v>1000</v>
      </c>
      <c r="H98" s="3016"/>
      <c r="J98" s="346"/>
      <c r="K98" s="346"/>
      <c r="L98" s="353"/>
      <c r="M98" s="346"/>
      <c r="N98" s="346"/>
      <c r="O98" s="2357"/>
      <c r="P98" s="346"/>
      <c r="Q98" s="346"/>
      <c r="S98" s="3015">
        <v>1000</v>
      </c>
      <c r="T98" s="3016"/>
      <c r="V98" s="2486"/>
      <c r="W98" s="3122"/>
      <c r="X98" s="3123"/>
    </row>
    <row r="99" spans="1:37" s="293" customFormat="1" ht="12.6" customHeight="1">
      <c r="B99" s="293" t="s">
        <v>505</v>
      </c>
      <c r="E99" s="3189">
        <f>ROUNDUP('DCA Underwriting Assumptions'!$Q$92*J184,0)</f>
        <v>64080</v>
      </c>
      <c r="F99" s="3190"/>
      <c r="G99" s="3015">
        <v>64080</v>
      </c>
      <c r="H99" s="3016"/>
      <c r="J99" s="944" t="str">
        <f>IF(E99&gt;G99,"WARNING!  LIHTC Allocation Fee proposed is below minimum required.","")</f>
        <v/>
      </c>
      <c r="K99" s="346"/>
      <c r="L99" s="2369"/>
      <c r="M99" s="346"/>
      <c r="N99" s="346"/>
      <c r="O99" s="2357"/>
      <c r="P99" s="346"/>
      <c r="Q99" s="346"/>
      <c r="S99" s="3015">
        <v>64080</v>
      </c>
      <c r="T99" s="3016"/>
      <c r="V99" s="2486"/>
      <c r="W99" s="3122"/>
      <c r="X99" s="3123"/>
    </row>
    <row r="100" spans="1:37" s="293" customFormat="1" ht="12.6" customHeight="1">
      <c r="B100" s="293" t="s">
        <v>735</v>
      </c>
      <c r="E100" s="31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190"/>
      <c r="G100" s="3015">
        <v>60000</v>
      </c>
      <c r="H100" s="3016"/>
      <c r="J100" s="944" t="str">
        <f>IF(E100&gt;G100,"WARNING!  LIHTC Compliance Fee proposed is below minimum required.","")</f>
        <v/>
      </c>
      <c r="K100" s="270"/>
      <c r="L100" s="270"/>
      <c r="M100" s="270"/>
      <c r="N100" s="270"/>
      <c r="O100" s="270"/>
      <c r="P100" s="270"/>
      <c r="Q100" s="270"/>
      <c r="S100" s="3015">
        <v>60000</v>
      </c>
      <c r="T100" s="3016"/>
      <c r="V100" s="2486"/>
      <c r="W100" s="3122"/>
      <c r="X100" s="3123"/>
    </row>
    <row r="101" spans="1:37" s="293" customFormat="1" ht="12.6" customHeight="1">
      <c r="B101" s="293" t="s">
        <v>3880</v>
      </c>
      <c r="F101" s="1164">
        <f>ROUNDUP('DCA Underwriting Assumptions'!$Q$94,0)</f>
        <v>3000</v>
      </c>
      <c r="G101" s="3015"/>
      <c r="H101" s="3016"/>
      <c r="J101" s="270"/>
      <c r="K101" s="270"/>
      <c r="L101" s="270"/>
      <c r="M101" s="270"/>
      <c r="N101" s="270"/>
      <c r="O101" s="270"/>
      <c r="P101" s="270"/>
      <c r="Q101" s="270"/>
      <c r="S101" s="3015"/>
      <c r="T101" s="3016"/>
      <c r="V101" s="2486"/>
      <c r="W101" s="3122"/>
      <c r="X101" s="3123"/>
    </row>
    <row r="102" spans="1:37" s="293" customFormat="1" ht="12.6" customHeight="1">
      <c r="B102" s="293" t="s">
        <v>3881</v>
      </c>
      <c r="F102" s="1164">
        <f>ROUNDUP('DCA Underwriting Assumptions'!$Q$128,0)</f>
        <v>3000</v>
      </c>
      <c r="G102" s="3015">
        <v>3000</v>
      </c>
      <c r="H102" s="3016"/>
      <c r="J102" s="270"/>
      <c r="K102" s="270"/>
      <c r="L102" s="270"/>
      <c r="M102" s="270"/>
      <c r="N102" s="270"/>
      <c r="O102" s="270"/>
      <c r="P102" s="270"/>
      <c r="Q102" s="270"/>
      <c r="S102" s="3015">
        <v>3000</v>
      </c>
      <c r="T102" s="3016"/>
      <c r="V102" s="2486"/>
      <c r="W102" s="3122"/>
      <c r="X102" s="3123"/>
    </row>
    <row r="103" spans="1:37" s="293" customFormat="1" ht="12.6" customHeight="1">
      <c r="A103" s="370" t="str">
        <f>IF(AND(G103&gt;0,OR(C103="",C103="&lt;Enter detailed description here; use Comments section if needed&gt;")),"X","")</f>
        <v/>
      </c>
      <c r="B103" s="293" t="s">
        <v>723</v>
      </c>
      <c r="C103" s="3186" t="s">
        <v>3532</v>
      </c>
      <c r="D103" s="3186"/>
      <c r="E103" s="3186"/>
      <c r="F103" s="3187"/>
      <c r="G103" s="3015"/>
      <c r="H103" s="3016"/>
      <c r="J103" s="270"/>
      <c r="K103" s="270"/>
      <c r="L103" s="270"/>
      <c r="M103" s="270"/>
      <c r="N103" s="270"/>
      <c r="O103" s="270"/>
      <c r="P103" s="270"/>
      <c r="Q103" s="270"/>
      <c r="S103" s="3015"/>
      <c r="T103" s="3016"/>
      <c r="U103" s="369" t="str">
        <f>IF(AND(G103&gt;0,OR(C103="",C103="&lt;Enter detailed description here; use Comments section if needed&gt;")),"NO DESCRIPTION PROVIDED - please enter detailed description in Other box at left; use Comments section below if needed.","")</f>
        <v/>
      </c>
      <c r="V103" s="2486"/>
      <c r="W103" s="3122"/>
      <c r="X103" s="3123"/>
    </row>
    <row r="104" spans="1:37" s="293" customFormat="1" ht="12.6" customHeight="1" thickBot="1">
      <c r="A104" s="370" t="str">
        <f>IF(AND(G104&gt;0,OR(C104="",C104="&lt;Enter detailed description here; use Comments section if needed&gt;")),"X","")</f>
        <v/>
      </c>
      <c r="B104" s="293" t="s">
        <v>723</v>
      </c>
      <c r="C104" s="3184" t="s">
        <v>3532</v>
      </c>
      <c r="D104" s="3184"/>
      <c r="E104" s="3184"/>
      <c r="F104" s="3185"/>
      <c r="G104" s="2968"/>
      <c r="H104" s="2969"/>
      <c r="J104" s="270"/>
      <c r="K104" s="270"/>
      <c r="L104" s="270"/>
      <c r="M104" s="270"/>
      <c r="N104" s="270"/>
      <c r="O104" s="270"/>
      <c r="P104" s="270"/>
      <c r="Q104" s="270"/>
      <c r="S104" s="2968"/>
      <c r="T104" s="2969"/>
      <c r="U104" s="369" t="str">
        <f>IF(AND(G104&gt;0,OR(C104="",C104="&lt;Enter detailed description here; use Comments section if needed&gt;")),"NO DESCRIPTION PROVIDED - please enter detailed description in Other box at left; use Comments section below if needed.","")</f>
        <v/>
      </c>
      <c r="V104" s="2486"/>
      <c r="W104" s="3129"/>
      <c r="X104" s="3130"/>
    </row>
    <row r="105" spans="1:37" s="293" customFormat="1" ht="12.6" customHeight="1" thickTop="1">
      <c r="F105" s="344" t="s">
        <v>187</v>
      </c>
      <c r="G105" s="3154">
        <f>SUM(G96:H104)</f>
        <v>133580</v>
      </c>
      <c r="H105" s="3155"/>
      <c r="J105" s="346"/>
      <c r="K105" s="346"/>
      <c r="L105" s="2369"/>
      <c r="M105" s="346"/>
      <c r="N105" s="346"/>
      <c r="P105" s="346"/>
      <c r="Q105" s="346"/>
      <c r="S105" s="3154">
        <f>SUM(S96:T104)</f>
        <v>133580</v>
      </c>
      <c r="T105" s="3155"/>
      <c r="V105" s="2488">
        <f>SUM(V96:V104)</f>
        <v>0</v>
      </c>
      <c r="W105" s="3248"/>
      <c r="X105" s="3249"/>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004">
        <v>3500</v>
      </c>
      <c r="H107" s="3005"/>
      <c r="J107" s="3188"/>
      <c r="K107" s="3188"/>
      <c r="L107" s="2369"/>
      <c r="M107" s="3188"/>
      <c r="N107" s="3188"/>
      <c r="O107" s="2357"/>
      <c r="P107" s="3188"/>
      <c r="Q107" s="3188"/>
      <c r="S107" s="3004">
        <v>3500</v>
      </c>
      <c r="T107" s="3005"/>
      <c r="V107" s="2486"/>
      <c r="W107" s="3122"/>
      <c r="X107" s="3123"/>
    </row>
    <row r="108" spans="1:37" s="293" customFormat="1" ht="12.6" customHeight="1">
      <c r="B108" s="293" t="s">
        <v>275</v>
      </c>
      <c r="G108" s="3015">
        <v>2500</v>
      </c>
      <c r="H108" s="3016"/>
      <c r="J108" s="3188"/>
      <c r="K108" s="3188"/>
      <c r="L108" s="2369"/>
      <c r="M108" s="3188"/>
      <c r="N108" s="3188"/>
      <c r="O108" s="2357"/>
      <c r="P108" s="3188"/>
      <c r="Q108" s="3188"/>
      <c r="S108" s="3015">
        <v>2500</v>
      </c>
      <c r="T108" s="3016"/>
      <c r="V108" s="2486"/>
      <c r="W108" s="3122"/>
      <c r="X108" s="3123"/>
    </row>
    <row r="109" spans="1:37" s="293" customFormat="1" ht="12.6" customHeight="1">
      <c r="B109" s="293" t="s">
        <v>2324</v>
      </c>
      <c r="G109" s="3015"/>
      <c r="H109" s="3016"/>
      <c r="J109" s="3188"/>
      <c r="K109" s="3188"/>
      <c r="L109" s="2369"/>
      <c r="M109" s="3188"/>
      <c r="N109" s="3188"/>
      <c r="O109" s="2357"/>
      <c r="P109" s="3188"/>
      <c r="Q109" s="3188"/>
      <c r="S109" s="3015"/>
      <c r="T109" s="3016"/>
      <c r="V109" s="2486"/>
      <c r="W109" s="3122"/>
      <c r="X109" s="3123"/>
    </row>
    <row r="110" spans="1:37" s="293" customFormat="1" ht="12.6" customHeight="1" thickBot="1">
      <c r="A110" s="370" t="str">
        <f>IF(AND(G110&gt;0,OR(C110="",C110="&lt;Enter detailed description here; use Comments section if needed&gt;")),"X","")</f>
        <v/>
      </c>
      <c r="B110" s="293" t="s">
        <v>723</v>
      </c>
      <c r="C110" s="3152" t="s">
        <v>3532</v>
      </c>
      <c r="D110" s="3152"/>
      <c r="E110" s="3152"/>
      <c r="F110" s="3153"/>
      <c r="G110" s="2968"/>
      <c r="H110" s="2969"/>
      <c r="J110" s="3188"/>
      <c r="K110" s="3188"/>
      <c r="L110" s="2369"/>
      <c r="M110" s="3188"/>
      <c r="N110" s="3188"/>
      <c r="O110" s="2357"/>
      <c r="P110" s="3188"/>
      <c r="Q110" s="3188"/>
      <c r="S110" s="2968"/>
      <c r="T110" s="2969"/>
      <c r="U110" s="369" t="str">
        <f>IF(AND(G110&gt;0,OR(C110="",C110="&lt;Enter detailed description here; use Comments section if needed&gt;")),"NO DESCRIPTION PROVIDED - please enter detailed description in Other box at left; use Comments section below if needed.","")</f>
        <v/>
      </c>
      <c r="V110" s="2486"/>
      <c r="W110" s="3129"/>
      <c r="X110" s="3130"/>
    </row>
    <row r="111" spans="1:37" s="293" customFormat="1" ht="12.6" customHeight="1" thickTop="1">
      <c r="F111" s="344" t="s">
        <v>187</v>
      </c>
      <c r="G111" s="3154">
        <f>SUM(G107:H110)</f>
        <v>6000</v>
      </c>
      <c r="H111" s="3155"/>
      <c r="J111" s="3188"/>
      <c r="K111" s="3188"/>
      <c r="L111" s="2369"/>
      <c r="M111" s="3188"/>
      <c r="N111" s="3188"/>
      <c r="O111" s="2357"/>
      <c r="P111" s="3188"/>
      <c r="Q111" s="3188"/>
      <c r="S111" s="3154">
        <f>SUM(S107:T110)</f>
        <v>6000</v>
      </c>
      <c r="T111" s="3155"/>
      <c r="V111" s="2488">
        <f>SUM(V107:V110)</f>
        <v>0</v>
      </c>
      <c r="W111" s="3198"/>
      <c r="X111" s="3199"/>
      <c r="AC111" s="3116" t="s">
        <v>4509</v>
      </c>
      <c r="AD111" s="3116" t="s">
        <v>4510</v>
      </c>
      <c r="AE111" s="3118" t="s">
        <v>4515</v>
      </c>
      <c r="AF111" s="3134"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3" t="s">
        <v>4497</v>
      </c>
      <c r="Z112" s="1566"/>
      <c r="AA112" s="277" t="s">
        <v>4506</v>
      </c>
      <c r="AB112" s="277" t="s">
        <v>4507</v>
      </c>
      <c r="AC112" s="3117"/>
      <c r="AD112" s="3117"/>
      <c r="AE112" s="3119"/>
      <c r="AF112" s="3135"/>
      <c r="AI112" s="27"/>
      <c r="AK112" s="427"/>
    </row>
    <row r="113" spans="1:37" s="293" customFormat="1" ht="12.6" customHeight="1">
      <c r="B113" s="293" t="s">
        <v>1814</v>
      </c>
      <c r="F113" s="396">
        <f>IF($G$118=0,0,G113/$G$118)</f>
        <v>0</v>
      </c>
      <c r="G113" s="3191"/>
      <c r="H113" s="3191"/>
      <c r="J113" s="3192"/>
      <c r="K113" s="3193"/>
      <c r="L113" s="345"/>
      <c r="M113" s="3192"/>
      <c r="N113" s="3193"/>
      <c r="P113" s="3192"/>
      <c r="Q113" s="3193"/>
      <c r="S113" s="3192"/>
      <c r="T113" s="3193"/>
      <c r="V113" s="2486"/>
      <c r="W113" s="3122"/>
      <c r="X113" s="3123"/>
      <c r="Y113" s="158"/>
      <c r="Z113" s="2494">
        <v>0.09</v>
      </c>
      <c r="AA113" s="2495">
        <f>'DCA Underwriting Assumptions'!$J$104</f>
        <v>1</v>
      </c>
      <c r="AB113" s="2495">
        <f>'DCA Underwriting Assumptions'!$K$104</f>
        <v>50</v>
      </c>
      <c r="AC113" s="2496">
        <f>'DCA Underwriting Assumptions'!$Q$104</f>
        <v>25000</v>
      </c>
      <c r="AD113" s="2496">
        <f>AB113*AC113</f>
        <v>1250000</v>
      </c>
      <c r="AE113" s="2496">
        <f>IF('Part VI-Revenues &amp; Expenses'!$P$67&lt;AA114,'Part VI-Revenues &amp; Expenses'!$P$67*'Part IV-A-Uses of Funds'!AC113,AB113*AC113)</f>
        <v>1250000</v>
      </c>
      <c r="AF113" s="3136">
        <f>SUM(AE113:AE115)</f>
        <v>1450000</v>
      </c>
      <c r="AI113" s="27"/>
    </row>
    <row r="114" spans="1:37" s="293" customFormat="1" ht="12.6" customHeight="1">
      <c r="B114" s="293" t="s">
        <v>3841</v>
      </c>
      <c r="F114" s="2497"/>
      <c r="V114" s="2486"/>
      <c r="W114" s="3122"/>
      <c r="X114" s="3123"/>
      <c r="Y114" s="158"/>
      <c r="Z114" s="120"/>
      <c r="AA114" s="2498">
        <f>'DCA Underwriting Assumptions'!$J$105</f>
        <v>51</v>
      </c>
      <c r="AB114" s="2498">
        <f>'DCA Underwriting Assumptions'!$K$105</f>
        <v>70</v>
      </c>
      <c r="AC114" s="2499">
        <f>'DCA Underwriting Assumptions'!$Q$105</f>
        <v>20000</v>
      </c>
      <c r="AD114" s="2499">
        <f>(AB114-AB113)*AC114</f>
        <v>400000</v>
      </c>
      <c r="AE114" s="2499">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137"/>
      <c r="AI114" s="27"/>
    </row>
    <row r="115" spans="1:37" s="293" customFormat="1" ht="12.6" customHeight="1">
      <c r="B115" s="293" t="s">
        <v>1815</v>
      </c>
      <c r="F115" s="396">
        <f>IF($G$118=0,0,G115/$G$118)</f>
        <v>0</v>
      </c>
      <c r="G115" s="3004"/>
      <c r="H115" s="3005"/>
      <c r="J115" s="3004"/>
      <c r="K115" s="3005"/>
      <c r="L115" s="2369"/>
      <c r="M115" s="3004"/>
      <c r="N115" s="3005"/>
      <c r="P115" s="3004"/>
      <c r="Q115" s="3005"/>
      <c r="S115" s="3004"/>
      <c r="T115" s="3005"/>
      <c r="V115" s="2486"/>
      <c r="W115" s="3122"/>
      <c r="X115" s="3123"/>
      <c r="Y115" s="158"/>
      <c r="Z115" s="120"/>
      <c r="AA115" s="2500">
        <f>'DCA Underwriting Assumptions'!$J$106</f>
        <v>71</v>
      </c>
      <c r="AB115" s="2501"/>
      <c r="AC115" s="2502">
        <f>'DCA Underwriting Assumptions'!$Q$106</f>
        <v>15000</v>
      </c>
      <c r="AD115" s="2502">
        <f>AF121-AD114-AD113</f>
        <v>350000</v>
      </c>
      <c r="AE115" s="2502">
        <f>MIN(AD115,IF('Part VI-Revenues &amp; Expenses'!$P$67&gt;AB114,('Part VI-Revenues &amp; Expenses'!$P$67-AB114)*AC115,0))</f>
        <v>0</v>
      </c>
      <c r="AF115" s="3138"/>
      <c r="AI115" s="27"/>
    </row>
    <row r="116" spans="1:37" s="293" customFormat="1" ht="12.6" customHeight="1">
      <c r="B116" s="293" t="s">
        <v>3467</v>
      </c>
      <c r="F116" s="396">
        <f>IF($G$118=0,0,G116/$G$118)</f>
        <v>0</v>
      </c>
      <c r="G116" s="3015"/>
      <c r="H116" s="3016"/>
      <c r="J116" s="3015"/>
      <c r="K116" s="3016"/>
      <c r="L116" s="2369"/>
      <c r="M116" s="3015"/>
      <c r="N116" s="3016"/>
      <c r="P116" s="3015"/>
      <c r="Q116" s="3016"/>
      <c r="S116" s="3015"/>
      <c r="T116" s="3016"/>
      <c r="V116" s="2486"/>
      <c r="W116" s="3122"/>
      <c r="X116" s="3123"/>
      <c r="Y116" s="27"/>
      <c r="Z116" s="2494">
        <v>0.04</v>
      </c>
      <c r="AA116" s="2503">
        <f>'DCA Underwriting Assumptions'!$J$107</f>
        <v>1</v>
      </c>
      <c r="AB116" s="2503">
        <f>'DCA Underwriting Assumptions'!$K$107</f>
        <v>100</v>
      </c>
      <c r="AC116" s="2496">
        <f>'DCA Underwriting Assumptions'!$Q$107</f>
        <v>18000</v>
      </c>
      <c r="AD116" s="2496">
        <f>AB116*AC116</f>
        <v>1800000</v>
      </c>
      <c r="AE116" s="2496">
        <f>IF('Part VI-Revenues &amp; Expenses'!$P$67&lt;AA117,'Part VI-Revenues &amp; Expenses'!$P$67*'Part IV-A-Uses of Funds'!AC116,AB116*AC116)</f>
        <v>1080000</v>
      </c>
      <c r="AF116" s="3136">
        <f>SUM(AE116:AE118)</f>
        <v>1080000</v>
      </c>
      <c r="AG116" s="825">
        <f>51*AC116</f>
        <v>918000</v>
      </c>
      <c r="AI116" s="27"/>
    </row>
    <row r="117" spans="1:37" s="293" customFormat="1" ht="12.6" customHeight="1" thickBot="1">
      <c r="B117" s="293" t="s">
        <v>1807</v>
      </c>
      <c r="F117" s="396">
        <f>IF($G$118=0,0,G117/$G$118)</f>
        <v>1</v>
      </c>
      <c r="G117" s="2968">
        <v>1450000</v>
      </c>
      <c r="H117" s="2969"/>
      <c r="J117" s="2968">
        <v>1450000</v>
      </c>
      <c r="K117" s="2969"/>
      <c r="L117" s="2369"/>
      <c r="M117" s="2968"/>
      <c r="N117" s="2969"/>
      <c r="P117" s="2968"/>
      <c r="Q117" s="2969"/>
      <c r="S117" s="2968"/>
      <c r="T117" s="2969"/>
      <c r="V117" s="2486"/>
      <c r="W117" s="3129"/>
      <c r="X117" s="3130"/>
      <c r="Y117" s="27"/>
      <c r="Z117" s="80"/>
      <c r="AA117" s="2498">
        <f>'DCA Underwriting Assumptions'!$J$108</f>
        <v>101</v>
      </c>
      <c r="AB117" s="2498">
        <f>'DCA Underwriting Assumptions'!$K$108</f>
        <v>130</v>
      </c>
      <c r="AC117" s="2499">
        <f>'DCA Underwriting Assumptions'!$Q$108</f>
        <v>15500</v>
      </c>
      <c r="AD117" s="2499">
        <f>(AB117-AB116)*AC117</f>
        <v>465000</v>
      </c>
      <c r="AE117" s="249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37"/>
      <c r="AG117" s="825"/>
      <c r="AI117" s="27"/>
    </row>
    <row r="118" spans="1:37" s="293" customFormat="1" ht="12.6" customHeight="1" thickTop="1">
      <c r="A118" s="1587" t="str">
        <f>IF(G118&gt;E118,"DF over limit!  Round down/Enter nbr.","")</f>
        <v/>
      </c>
      <c r="B118" s="1586"/>
      <c r="D118" s="582" t="s">
        <v>4508</v>
      </c>
      <c r="E118" s="1588">
        <f>IF(E112="9%",AF113,IF(E112="4%",AF116,"Enter app type!"))</f>
        <v>1450000</v>
      </c>
      <c r="F118" s="344" t="s">
        <v>187</v>
      </c>
      <c r="G118" s="3194">
        <f>SUM(G113:H117)</f>
        <v>1450000</v>
      </c>
      <c r="H118" s="3195"/>
      <c r="J118" s="3154">
        <f>SUM(J113:K117)</f>
        <v>1450000</v>
      </c>
      <c r="K118" s="3155"/>
      <c r="L118" s="2369"/>
      <c r="M118" s="3154">
        <f>SUM(M113:N117)</f>
        <v>0</v>
      </c>
      <c r="N118" s="3155"/>
      <c r="P118" s="3154">
        <f>SUM(P113:Q117)</f>
        <v>0</v>
      </c>
      <c r="Q118" s="3155"/>
      <c r="S118" s="3154">
        <f>SUM(S113:T117)</f>
        <v>0</v>
      </c>
      <c r="T118" s="3155"/>
      <c r="V118" s="2488">
        <f>SUM(V113:V117)</f>
        <v>0</v>
      </c>
      <c r="W118" s="3198"/>
      <c r="X118" s="3199"/>
      <c r="Y118" s="27"/>
      <c r="Z118" s="80"/>
      <c r="AA118" s="2500">
        <f>'DCA Underwriting Assumptions'!$J$109</f>
        <v>131</v>
      </c>
      <c r="AB118" s="2501"/>
      <c r="AC118" s="2502">
        <f>'DCA Underwriting Assumptions'!$Q$109</f>
        <v>13000</v>
      </c>
      <c r="AD118" s="2502">
        <f>AF122-AD117-AD116</f>
        <v>1235000</v>
      </c>
      <c r="AE118" s="2502">
        <f>MIN(AD118,IF('Part VI-Revenues &amp; Expenses'!$P$67&gt;AB117,('Part VI-Revenues &amp; Expenses'!$P$67-AB117)*AC118,0))</f>
        <v>0</v>
      </c>
      <c r="AF118" s="3138"/>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004">
        <v>45000</v>
      </c>
      <c r="H120" s="3005"/>
      <c r="J120" s="354"/>
      <c r="K120" s="354"/>
      <c r="L120" s="354"/>
      <c r="M120" s="354"/>
      <c r="N120" s="354"/>
      <c r="P120" s="354"/>
      <c r="Q120" s="354"/>
      <c r="S120" s="3004">
        <v>45000</v>
      </c>
      <c r="T120" s="3005"/>
      <c r="V120" s="2486"/>
      <c r="W120" s="3122"/>
      <c r="X120" s="3123"/>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61036</v>
      </c>
      <c r="G121" s="3015">
        <v>61036</v>
      </c>
      <c r="H121" s="3016"/>
      <c r="J121" s="946" t="str">
        <f>IF(E121&gt;G121,"WARNING! Rent-Up Reserves proposed is below minimum - add comment.","")</f>
        <v/>
      </c>
      <c r="K121" s="946"/>
      <c r="L121" s="2369"/>
      <c r="M121" s="920"/>
      <c r="N121" s="920"/>
      <c r="O121" s="2357"/>
      <c r="P121" s="920"/>
      <c r="Q121" s="920"/>
      <c r="R121" s="2357"/>
      <c r="S121" s="3015">
        <v>61036</v>
      </c>
      <c r="T121" s="3016"/>
      <c r="V121" s="2486"/>
      <c r="W121" s="3122"/>
      <c r="X121" s="3123"/>
      <c r="Y121" s="27"/>
      <c r="Z121" s="2504">
        <v>0.09</v>
      </c>
      <c r="AB121" s="1566"/>
      <c r="AD121" s="27"/>
      <c r="AF121" s="2505">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153844.41209798548</v>
      </c>
      <c r="G122" s="3015">
        <v>153844</v>
      </c>
      <c r="H122" s="3016"/>
      <c r="J122" s="946" t="str">
        <f>IF(E122&gt;G122,"WARNING! ODR proposed is below minimum - add comment.","")</f>
        <v/>
      </c>
      <c r="K122" s="353"/>
      <c r="L122" s="353"/>
      <c r="M122" s="353"/>
      <c r="N122" s="353"/>
      <c r="O122" s="2357"/>
      <c r="P122" s="353"/>
      <c r="Q122" s="353"/>
      <c r="R122" s="2357"/>
      <c r="S122" s="3015">
        <v>153844</v>
      </c>
      <c r="T122" s="3016"/>
      <c r="V122" s="2486"/>
      <c r="W122" s="3122"/>
      <c r="X122" s="3123"/>
      <c r="Y122" s="27"/>
      <c r="Z122" s="2504">
        <v>0.04</v>
      </c>
      <c r="AB122" s="1566"/>
      <c r="AD122" s="27"/>
      <c r="AF122" s="2505">
        <f>'DCA Underwriting Assumptions'!$Q$113</f>
        <v>3500000</v>
      </c>
      <c r="AG122" s="27"/>
      <c r="AH122" s="27"/>
      <c r="AI122" s="27"/>
    </row>
    <row r="123" spans="1:37" s="293" customFormat="1" ht="12.6" customHeight="1">
      <c r="B123" s="293" t="s">
        <v>1218</v>
      </c>
      <c r="G123" s="3015"/>
      <c r="H123" s="3016"/>
      <c r="J123" s="354"/>
      <c r="K123" s="354"/>
      <c r="L123" s="354"/>
      <c r="M123" s="354"/>
      <c r="N123" s="354"/>
      <c r="P123" s="354"/>
      <c r="Q123" s="354"/>
      <c r="S123" s="3015"/>
      <c r="T123" s="3016"/>
      <c r="V123" s="2486"/>
      <c r="W123" s="3122"/>
      <c r="X123" s="3123"/>
    </row>
    <row r="124" spans="1:37" s="293" customFormat="1" ht="12.6" customHeight="1">
      <c r="B124" s="293" t="s">
        <v>1219</v>
      </c>
      <c r="E124" s="821" t="s">
        <v>3435</v>
      </c>
      <c r="F124" s="452">
        <f>IF('Part VI-Revenues &amp; Expenses'!$P$67=0,0,G124/'Part VI-Revenues &amp; Expenses'!$P$67)</f>
        <v>333.33333333333331</v>
      </c>
      <c r="G124" s="3015">
        <v>20000</v>
      </c>
      <c r="H124" s="3016"/>
      <c r="J124" s="3004">
        <f>G124</f>
        <v>20000</v>
      </c>
      <c r="K124" s="3005"/>
      <c r="L124" s="2369"/>
      <c r="M124" s="3004"/>
      <c r="N124" s="3005"/>
      <c r="P124" s="3004"/>
      <c r="Q124" s="3005"/>
      <c r="S124" s="3015"/>
      <c r="T124" s="3016"/>
      <c r="V124" s="2486"/>
      <c r="W124" s="3122"/>
      <c r="X124" s="3123"/>
    </row>
    <row r="125" spans="1:37" s="293" customFormat="1" ht="12.6" customHeight="1" thickBot="1">
      <c r="A125" s="370" t="str">
        <f>IF(AND(G125&gt;0,OR(C125="",C125="&lt;Enter detailed description here; use Comments section if needed&gt;")),"X","")</f>
        <v/>
      </c>
      <c r="B125" s="293" t="s">
        <v>723</v>
      </c>
      <c r="C125" s="3152" t="s">
        <v>4721</v>
      </c>
      <c r="D125" s="3152"/>
      <c r="E125" s="3152"/>
      <c r="F125" s="3153"/>
      <c r="G125" s="2968">
        <v>37248</v>
      </c>
      <c r="H125" s="2969"/>
      <c r="J125" s="3157"/>
      <c r="K125" s="3158"/>
      <c r="L125" s="2369"/>
      <c r="M125" s="2968"/>
      <c r="N125" s="2969"/>
      <c r="P125" s="2968"/>
      <c r="Q125" s="2969"/>
      <c r="S125" s="2968">
        <v>37248</v>
      </c>
      <c r="T125" s="2969"/>
      <c r="U125" s="369" t="str">
        <f>IF(AND(G125&gt;0,OR(C125="",C125="&lt;Enter detailed description here; use Comments section if needed&gt;")),"NO DESCRIPTION PROVIDED - please enter detailed description in Other box at left; use Comments section below if needed.","")</f>
        <v/>
      </c>
      <c r="V125" s="2486"/>
      <c r="W125" s="3129"/>
      <c r="X125" s="3130"/>
    </row>
    <row r="126" spans="1:37" s="293" customFormat="1" ht="12.6" customHeight="1" thickTop="1">
      <c r="B126" s="355"/>
      <c r="F126" s="344" t="s">
        <v>187</v>
      </c>
      <c r="G126" s="3154">
        <f>SUM(G120:H125)</f>
        <v>317128</v>
      </c>
      <c r="H126" s="3155"/>
      <c r="J126" s="3154">
        <f>SUM(J124:K125)</f>
        <v>20000</v>
      </c>
      <c r="K126" s="3155"/>
      <c r="L126" s="2369"/>
      <c r="M126" s="3154">
        <f>SUM(M124:N125)</f>
        <v>0</v>
      </c>
      <c r="N126" s="3155"/>
      <c r="P126" s="3154">
        <f>SUM(P124:Q125)</f>
        <v>0</v>
      </c>
      <c r="Q126" s="3155"/>
      <c r="S126" s="3154">
        <f>SUM(S120:T125)</f>
        <v>297128</v>
      </c>
      <c r="T126" s="3155"/>
      <c r="V126" s="2488">
        <f>SUM(V120:V125)</f>
        <v>0</v>
      </c>
      <c r="W126" s="3198"/>
      <c r="X126" s="3199"/>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004"/>
      <c r="H128" s="3005"/>
      <c r="J128" s="3004"/>
      <c r="K128" s="3005"/>
      <c r="L128" s="345"/>
      <c r="M128" s="3004"/>
      <c r="N128" s="3005"/>
      <c r="P128" s="3004"/>
      <c r="Q128" s="3005"/>
      <c r="S128" s="3004"/>
      <c r="T128" s="3005"/>
      <c r="V128" s="2486"/>
      <c r="W128" s="3122"/>
      <c r="X128" s="3123"/>
    </row>
    <row r="129" spans="1:24" s="293" customFormat="1" ht="12.6" customHeight="1" thickBot="1">
      <c r="A129" s="370" t="str">
        <f>IF(AND(G129&gt;0,OR(C129="",C129="&lt;Enter detailed description here; use Comments section if needed&gt;")),"X","")</f>
        <v/>
      </c>
      <c r="B129" s="293" t="s">
        <v>723</v>
      </c>
      <c r="C129" s="3152" t="s">
        <v>3532</v>
      </c>
      <c r="D129" s="3152"/>
      <c r="E129" s="3152"/>
      <c r="F129" s="3153"/>
      <c r="G129" s="2968"/>
      <c r="H129" s="2969"/>
      <c r="J129" s="2968"/>
      <c r="K129" s="2969"/>
      <c r="L129" s="2369"/>
      <c r="M129" s="2968"/>
      <c r="N129" s="2969"/>
      <c r="P129" s="2968"/>
      <c r="Q129" s="2969"/>
      <c r="S129" s="2968"/>
      <c r="T129" s="2969"/>
      <c r="U129" s="369" t="str">
        <f>IF(AND(G129&gt;0,OR(C129="",C129="&lt;Enter detailed description here; use Comments section if needed&gt;")),"NO DESCRIPTION PROVIDED - please enter detailed description in Other box at left; use Comments section below if needed.","")</f>
        <v/>
      </c>
      <c r="V129" s="2486"/>
      <c r="W129" s="3129"/>
      <c r="X129" s="3130"/>
    </row>
    <row r="130" spans="1:24" s="293" customFormat="1" ht="12.6" customHeight="1" thickTop="1">
      <c r="C130" s="2346"/>
      <c r="F130" s="344" t="s">
        <v>187</v>
      </c>
      <c r="G130" s="3154">
        <f>SUM(G128:H129)</f>
        <v>0</v>
      </c>
      <c r="H130" s="3155"/>
      <c r="J130" s="3154">
        <f>SUM(J128:K129)</f>
        <v>0</v>
      </c>
      <c r="K130" s="3155"/>
      <c r="L130" s="2369"/>
      <c r="M130" s="3154">
        <f>SUM(M128:N129)</f>
        <v>0</v>
      </c>
      <c r="N130" s="3155"/>
      <c r="P130" s="3154">
        <f>SUM(P128:Q129)</f>
        <v>0</v>
      </c>
      <c r="Q130" s="3155"/>
      <c r="S130" s="3154">
        <f>SUM(S128:T129)</f>
        <v>0</v>
      </c>
      <c r="T130" s="3155"/>
      <c r="V130" s="2488">
        <f>SUM(V128:V129)</f>
        <v>0</v>
      </c>
      <c r="W130" s="3198"/>
      <c r="X130" s="3199"/>
    </row>
    <row r="131" spans="1:24" s="293" customFormat="1" ht="3" customHeight="1" thickBot="1">
      <c r="C131" s="2346"/>
      <c r="H131" s="351"/>
      <c r="I131" s="351"/>
      <c r="L131" s="2357"/>
      <c r="V131" s="1029"/>
      <c r="W131" s="2506"/>
      <c r="X131" s="2507"/>
    </row>
    <row r="132" spans="1:24" s="293" customFormat="1" ht="14.1" customHeight="1" thickBot="1">
      <c r="B132" s="298" t="s">
        <v>2678</v>
      </c>
      <c r="E132" s="821"/>
      <c r="F132" s="1589"/>
      <c r="G132" s="3196">
        <f>G17+G23+G27+G33+G38+G41+G47+G64+G77+G83+G91+G105+G111+G118+G126+G130</f>
        <v>11974075</v>
      </c>
      <c r="H132" s="3197"/>
      <c r="J132" s="3196">
        <f>J17+J23+J27+J33+J38+J41+J47+J64+J77+J83+J91+J105+J111+J118+J126+J130</f>
        <v>10805667</v>
      </c>
      <c r="K132" s="3197"/>
      <c r="M132" s="3196">
        <f>M17+M23+M27+M33+M38+M41+M47+M64+M77+M83+M91+M105+M111+M118+M126+M130</f>
        <v>0</v>
      </c>
      <c r="N132" s="3197"/>
      <c r="P132" s="3196">
        <f>P17+P23+P27+P33+P38+P41+P47+P64+P77+P83+P91+P105+P111+P118+P126+P130</f>
        <v>0</v>
      </c>
      <c r="Q132" s="3197"/>
      <c r="S132" s="3196">
        <f>S17+S23+S27+S33+S38+S41+S47+S64+S77+S83+S91+S105+S111+S118+S126+S130</f>
        <v>1168408</v>
      </c>
      <c r="T132" s="3197"/>
      <c r="V132" s="2508">
        <f>V17+V23+V27+V33+V38+V41+V47+V64+V77+V83+V91+V105+V111+V118+V126+V130</f>
        <v>0</v>
      </c>
      <c r="W132" s="3200"/>
      <c r="X132" s="3199"/>
    </row>
    <row r="133" spans="1:24" s="293" customFormat="1" ht="3" customHeight="1">
      <c r="C133" s="2346"/>
      <c r="H133" s="351"/>
      <c r="I133" s="351"/>
      <c r="L133" s="2357"/>
      <c r="V133" s="1029"/>
    </row>
    <row r="134" spans="1:24" s="293" customFormat="1" ht="14.1" customHeight="1">
      <c r="B134" s="490" t="s">
        <v>2675</v>
      </c>
      <c r="C134" s="488"/>
      <c r="D134" s="3205">
        <f>IF('Part VI-Revenues &amp; Expenses'!$P$67=0,0,G132/'Part VI-Revenues &amp; Expenses'!$P$67)</f>
        <v>199567.91666666666</v>
      </c>
      <c r="E134" s="3205"/>
      <c r="F134" s="489" t="s">
        <v>2674</v>
      </c>
      <c r="G134" s="3206">
        <f>IF('Part I-Project Information'!$P$75=0,0,G132/'Part I-Project Information'!$P$75)</f>
        <v>176.25781997497609</v>
      </c>
      <c r="H134" s="3207"/>
      <c r="I134" s="356"/>
      <c r="V134" s="1029"/>
    </row>
    <row r="135" spans="1:24" s="293" customFormat="1" ht="3" customHeight="1">
      <c r="I135" s="356"/>
      <c r="L135" s="356"/>
      <c r="V135" s="1029"/>
    </row>
    <row r="136" spans="1:24" s="293" customFormat="1" ht="3.6" customHeight="1" thickBot="1">
      <c r="D136" s="2346"/>
      <c r="E136" s="2346"/>
      <c r="I136" s="351"/>
      <c r="J136" s="351"/>
      <c r="K136" s="357"/>
      <c r="L136" s="2349"/>
      <c r="P136" s="2357"/>
      <c r="V136" s="1029"/>
    </row>
    <row r="137" spans="1:24" s="293" customFormat="1" ht="26.1" customHeight="1">
      <c r="A137" s="418" t="s">
        <v>722</v>
      </c>
      <c r="B137" s="420" t="s">
        <v>1398</v>
      </c>
      <c r="C137" s="841"/>
      <c r="D137" s="2369"/>
      <c r="E137" s="2369"/>
      <c r="F137" s="2369"/>
      <c r="G137" s="2357"/>
      <c r="H137" s="2357"/>
      <c r="I137" s="358"/>
      <c r="J137" s="3142" t="s">
        <v>266</v>
      </c>
      <c r="K137" s="3143"/>
      <c r="M137" s="3142" t="s">
        <v>97</v>
      </c>
      <c r="N137" s="3143"/>
      <c r="P137" s="3142" t="s">
        <v>267</v>
      </c>
      <c r="Q137" s="3143"/>
      <c r="V137" s="1029"/>
      <c r="W137" s="419" t="str">
        <f>B137</f>
        <v>TAX CREDIT CALCULATION - BASIS METHOD</v>
      </c>
    </row>
    <row r="138" spans="1:24" s="293" customFormat="1" ht="15" customHeight="1" thickBot="1">
      <c r="B138" s="298" t="s">
        <v>1996</v>
      </c>
      <c r="D138" s="2369"/>
      <c r="E138" s="2369"/>
      <c r="I138" s="358"/>
      <c r="J138" s="3144"/>
      <c r="K138" s="3145"/>
      <c r="L138" s="841"/>
      <c r="M138" s="3144"/>
      <c r="N138" s="3145"/>
      <c r="P138" s="3144"/>
      <c r="Q138" s="3145"/>
      <c r="V138" s="1029"/>
      <c r="W138" s="293" t="str">
        <f>B138</f>
        <v>Subtractions From Eligible Basis</v>
      </c>
      <c r="X138" s="330"/>
    </row>
    <row r="139" spans="1:24" s="293" customFormat="1" ht="6" customHeight="1">
      <c r="D139" s="2346"/>
      <c r="E139" s="2346"/>
      <c r="I139" s="351"/>
      <c r="J139" s="351"/>
      <c r="K139" s="357"/>
      <c r="L139" s="2349"/>
      <c r="P139" s="2357"/>
      <c r="V139" s="1029"/>
    </row>
    <row r="140" spans="1:24" s="293" customFormat="1" ht="14.1" customHeight="1">
      <c r="B140" s="2346" t="s">
        <v>141</v>
      </c>
      <c r="D140" s="2357"/>
      <c r="E140" s="2357"/>
      <c r="F140" s="2357"/>
      <c r="G140" s="2357"/>
      <c r="H140" s="2357"/>
      <c r="I140" s="358"/>
      <c r="J140" s="3208"/>
      <c r="K140" s="3209"/>
      <c r="P140" s="3208"/>
      <c r="Q140" s="3209"/>
      <c r="V140" s="2486"/>
      <c r="W140" s="3122"/>
      <c r="X140" s="3123"/>
    </row>
    <row r="141" spans="1:24" s="293" customFormat="1" ht="14.1" customHeight="1">
      <c r="B141" s="2357" t="s">
        <v>2102</v>
      </c>
      <c r="D141" s="2357"/>
      <c r="E141" s="2357"/>
      <c r="F141" s="2357"/>
      <c r="G141" s="2357"/>
      <c r="H141" s="2357"/>
      <c r="I141" s="358"/>
      <c r="J141" s="3201"/>
      <c r="K141" s="3202"/>
      <c r="P141" s="3201"/>
      <c r="Q141" s="3202"/>
      <c r="V141" s="2486"/>
      <c r="W141" s="3122"/>
      <c r="X141" s="3123"/>
    </row>
    <row r="142" spans="1:24" s="293" customFormat="1" ht="14.1" customHeight="1">
      <c r="B142" s="2357" t="s">
        <v>1817</v>
      </c>
      <c r="D142" s="2357"/>
      <c r="E142" s="2357"/>
      <c r="I142" s="358"/>
      <c r="J142" s="3201"/>
      <c r="K142" s="3202"/>
      <c r="P142" s="3201"/>
      <c r="Q142" s="3202"/>
      <c r="V142" s="2486"/>
      <c r="W142" s="3122"/>
      <c r="X142" s="3123"/>
    </row>
    <row r="143" spans="1:24" s="293" customFormat="1" ht="14.1" customHeight="1">
      <c r="B143" s="2357" t="s">
        <v>1818</v>
      </c>
      <c r="D143" s="2357"/>
      <c r="E143" s="2357"/>
      <c r="I143" s="358"/>
      <c r="J143" s="3201"/>
      <c r="K143" s="3202"/>
      <c r="P143" s="3201"/>
      <c r="Q143" s="3202"/>
      <c r="V143" s="2486"/>
      <c r="W143" s="3122"/>
      <c r="X143" s="3123"/>
    </row>
    <row r="144" spans="1:24" s="293" customFormat="1" ht="14.1" customHeight="1">
      <c r="B144" s="2357" t="s">
        <v>249</v>
      </c>
      <c r="D144" s="2357"/>
      <c r="E144" s="2357"/>
      <c r="I144" s="358"/>
      <c r="J144" s="3201"/>
      <c r="K144" s="3202"/>
      <c r="P144" s="3201"/>
      <c r="Q144" s="3202"/>
      <c r="V144" s="2486"/>
      <c r="W144" s="3122"/>
      <c r="X144" s="3123"/>
    </row>
    <row r="145" spans="1:24" s="293" customFormat="1" ht="14.1" customHeight="1" thickBot="1">
      <c r="B145" s="2357" t="s">
        <v>1568</v>
      </c>
      <c r="C145" s="3203" t="s">
        <v>2353</v>
      </c>
      <c r="D145" s="3203"/>
      <c r="E145" s="3203"/>
      <c r="F145" s="3203"/>
      <c r="G145" s="3203"/>
      <c r="H145" s="3203"/>
      <c r="I145" s="3204"/>
      <c r="J145" s="3120"/>
      <c r="K145" s="3121"/>
      <c r="P145" s="3120"/>
      <c r="Q145" s="3121"/>
      <c r="V145" s="2486"/>
      <c r="W145" s="3129"/>
      <c r="X145" s="3130"/>
    </row>
    <row r="146" spans="1:24" s="293" customFormat="1" ht="14.1" customHeight="1" thickBot="1">
      <c r="B146" s="303" t="s">
        <v>1819</v>
      </c>
      <c r="C146" s="306"/>
      <c r="J146" s="3094">
        <f>SUM(J140:K145)</f>
        <v>0</v>
      </c>
      <c r="K146" s="3095"/>
      <c r="P146" s="3094">
        <f>SUM(P140:Q145)</f>
        <v>0</v>
      </c>
      <c r="Q146" s="3095"/>
      <c r="V146" s="2488">
        <f>SUM(V140:V145)</f>
        <v>0</v>
      </c>
      <c r="W146" s="3198"/>
      <c r="X146" s="3199"/>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3124">
        <f>J132</f>
        <v>10805667</v>
      </c>
      <c r="K149" s="3125"/>
      <c r="M149" s="3126">
        <f>M132</f>
        <v>0</v>
      </c>
      <c r="N149" s="3127"/>
      <c r="P149" s="3124">
        <f>P132</f>
        <v>0</v>
      </c>
      <c r="Q149" s="3125"/>
      <c r="R149" s="3252" t="s">
        <v>4230</v>
      </c>
      <c r="S149" s="3253"/>
      <c r="T149" s="3253"/>
      <c r="V149" s="2486"/>
      <c r="W149" s="3122"/>
      <c r="X149" s="3123"/>
    </row>
    <row r="150" spans="1:24" s="293" customFormat="1" ht="14.1" customHeight="1">
      <c r="B150" s="293" t="s">
        <v>2164</v>
      </c>
      <c r="J150" s="3131">
        <f>J146</f>
        <v>0</v>
      </c>
      <c r="K150" s="3132"/>
      <c r="M150" s="3133"/>
      <c r="N150" s="3133"/>
      <c r="P150" s="3131">
        <f>P146</f>
        <v>0</v>
      </c>
      <c r="Q150" s="3132"/>
      <c r="R150" s="3252"/>
      <c r="S150" s="3253"/>
      <c r="T150" s="3253"/>
      <c r="U150" s="1405"/>
      <c r="V150" s="2486"/>
      <c r="W150" s="3122"/>
      <c r="X150" s="3123"/>
    </row>
    <row r="151" spans="1:24" s="293" customFormat="1" ht="14.1" customHeight="1">
      <c r="B151" s="293" t="s">
        <v>2165</v>
      </c>
      <c r="J151" s="3131">
        <f>J149-J150</f>
        <v>10805667</v>
      </c>
      <c r="K151" s="3132"/>
      <c r="M151" s="3131">
        <f>M149</f>
        <v>0</v>
      </c>
      <c r="N151" s="3132"/>
      <c r="P151" s="3131">
        <f>P149-P150</f>
        <v>0</v>
      </c>
      <c r="Q151" s="3132"/>
      <c r="R151" s="3252"/>
      <c r="S151" s="3253"/>
      <c r="T151" s="3253"/>
      <c r="U151" s="1405"/>
      <c r="V151" s="2486"/>
      <c r="W151" s="3122"/>
      <c r="X151" s="3123"/>
    </row>
    <row r="152" spans="1:24" s="293" customFormat="1" ht="14.1" customHeight="1">
      <c r="B152" s="293" t="s">
        <v>1454</v>
      </c>
      <c r="G152" s="2352" t="s">
        <v>1672</v>
      </c>
      <c r="H152" s="2737" t="s">
        <v>7115</v>
      </c>
      <c r="I152" s="2738"/>
      <c r="J152" s="3210">
        <v>1.3</v>
      </c>
      <c r="K152" s="3211"/>
      <c r="M152" s="3212"/>
      <c r="N152" s="3212"/>
      <c r="P152" s="3210"/>
      <c r="Q152" s="3211"/>
      <c r="R152" s="3254" t="s">
        <v>7116</v>
      </c>
      <c r="S152" s="3255"/>
      <c r="T152" s="3256"/>
      <c r="U152" s="1406"/>
      <c r="V152" s="2486"/>
      <c r="W152" s="3122"/>
      <c r="X152" s="3123"/>
    </row>
    <row r="153" spans="1:24" s="293" customFormat="1" ht="14.1" customHeight="1">
      <c r="B153" s="293" t="s">
        <v>2006</v>
      </c>
      <c r="J153" s="3131">
        <f>J151*J152</f>
        <v>14047367.1</v>
      </c>
      <c r="K153" s="3132"/>
      <c r="M153" s="3131">
        <f>+M151</f>
        <v>0</v>
      </c>
      <c r="N153" s="3132"/>
      <c r="P153" s="3131">
        <f>P151*P152</f>
        <v>0</v>
      </c>
      <c r="Q153" s="3132"/>
      <c r="R153" s="3257"/>
      <c r="S153" s="3258"/>
      <c r="T153" s="3259"/>
      <c r="U153" s="1406"/>
      <c r="V153" s="2486"/>
      <c r="W153" s="3122"/>
      <c r="X153" s="3123"/>
    </row>
    <row r="154" spans="1:24" s="293" customFormat="1" ht="14.1" customHeight="1">
      <c r="B154" s="293" t="s">
        <v>2475</v>
      </c>
      <c r="J154" s="3213">
        <f>MIN('Part VI-Revenues &amp; Expenses'!$P$63/'Part VI-Revenues &amp; Expenses'!$P$65,'Part VI-Revenues &amp; Expenses'!$P$166/'Part VI-Revenues &amp; Expenses'!$P$168)</f>
        <v>1</v>
      </c>
      <c r="K154" s="3214"/>
      <c r="M154" s="3213">
        <f>MIN('Part VI-Revenues &amp; Expenses'!$P$63/'Part VI-Revenues &amp; Expenses'!$P$65,'Part VI-Revenues &amp; Expenses'!$P$166/'Part VI-Revenues &amp; Expenses'!$P$168)</f>
        <v>1</v>
      </c>
      <c r="N154" s="3214"/>
      <c r="P154" s="3213">
        <f>MIN('Part VI-Revenues &amp; Expenses'!$P$63/'Part VI-Revenues &amp; Expenses'!$P$65,'Part VI-Revenues &amp; Expenses'!$P$166/'Part VI-Revenues &amp; Expenses'!$P$168)</f>
        <v>1</v>
      </c>
      <c r="Q154" s="3214"/>
      <c r="R154" s="3260"/>
      <c r="S154" s="3261"/>
      <c r="T154" s="3262"/>
      <c r="V154" s="2486"/>
      <c r="W154" s="3122"/>
      <c r="X154" s="3123"/>
    </row>
    <row r="155" spans="1:24" s="293" customFormat="1" ht="14.1" customHeight="1">
      <c r="B155" s="293" t="s">
        <v>1997</v>
      </c>
      <c r="J155" s="3131">
        <f>J153*J154</f>
        <v>14047367.1</v>
      </c>
      <c r="K155" s="3132"/>
      <c r="M155" s="3131">
        <f>M153*M154</f>
        <v>0</v>
      </c>
      <c r="N155" s="3132"/>
      <c r="P155" s="3131">
        <f>P153*P154</f>
        <v>0</v>
      </c>
      <c r="Q155" s="3132"/>
      <c r="V155" s="2486"/>
      <c r="W155" s="3122"/>
      <c r="X155" s="3123"/>
    </row>
    <row r="156" spans="1:24" s="293" customFormat="1" ht="14.1" customHeight="1">
      <c r="B156" s="293" t="s">
        <v>1998</v>
      </c>
      <c r="J156" s="3210">
        <v>0.09</v>
      </c>
      <c r="K156" s="3211"/>
      <c r="M156" s="3210"/>
      <c r="N156" s="3211"/>
      <c r="P156" s="3210"/>
      <c r="Q156" s="3211"/>
      <c r="V156" s="2486"/>
      <c r="W156" s="3122"/>
      <c r="X156" s="3123"/>
    </row>
    <row r="157" spans="1:24" s="293" customFormat="1" ht="14.1" customHeight="1" thickBot="1">
      <c r="B157" s="293" t="s">
        <v>2476</v>
      </c>
      <c r="J157" s="3215">
        <f>J155*J156</f>
        <v>1264263.0389999999</v>
      </c>
      <c r="K157" s="3216"/>
      <c r="M157" s="3215">
        <f>M155*M156</f>
        <v>0</v>
      </c>
      <c r="N157" s="3216"/>
      <c r="P157" s="3215">
        <f>P155*P156</f>
        <v>0</v>
      </c>
      <c r="Q157" s="3216"/>
      <c r="V157" s="2509"/>
      <c r="W157" s="3129"/>
      <c r="X157" s="3130"/>
    </row>
    <row r="158" spans="1:24" s="293" customFormat="1" ht="14.1" customHeight="1" thickBot="1">
      <c r="B158" s="295" t="s">
        <v>1396</v>
      </c>
      <c r="J158" s="3094">
        <f>ROUNDDOWN(J157+M157+P157,0)</f>
        <v>1264263</v>
      </c>
      <c r="K158" s="3128"/>
      <c r="L158" s="3128"/>
      <c r="M158" s="3128"/>
      <c r="N158" s="3128"/>
      <c r="O158" s="3128"/>
      <c r="P158" s="3128"/>
      <c r="Q158" s="3095"/>
      <c r="V158" s="2488"/>
      <c r="W158" s="3248"/>
      <c r="X158" s="3249"/>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7"/>
      <c r="M160" s="467"/>
      <c r="N160" s="2357"/>
      <c r="O160" s="2357"/>
      <c r="P160" s="2357"/>
      <c r="Q160" s="2357"/>
      <c r="R160" s="2357"/>
      <c r="S160" s="2357"/>
      <c r="T160" s="2357"/>
      <c r="V160" s="1029"/>
    </row>
    <row r="161" spans="2:24" s="168" customFormat="1" ht="3" customHeight="1">
      <c r="H161" s="2510"/>
      <c r="I161" s="2510"/>
      <c r="M161" s="535"/>
      <c r="O161" s="3112"/>
      <c r="P161" s="3112"/>
      <c r="Q161" s="3112"/>
      <c r="R161" s="3112"/>
      <c r="S161" s="3112"/>
      <c r="T161" s="3112"/>
      <c r="U161" s="3112"/>
      <c r="V161" s="3112"/>
    </row>
    <row r="162" spans="2:24" s="168" customFormat="1" ht="14.1" customHeight="1">
      <c r="B162" s="2511" t="s">
        <v>4524</v>
      </c>
      <c r="H162" s="2510"/>
      <c r="I162" s="2510"/>
      <c r="M162" s="535"/>
      <c r="O162" s="2512"/>
      <c r="P162" s="2512"/>
      <c r="Q162" s="2512"/>
      <c r="R162" s="2512"/>
      <c r="S162" s="2512"/>
      <c r="T162" s="2512"/>
      <c r="U162" s="2512"/>
      <c r="V162" s="2512"/>
    </row>
    <row r="163" spans="2:24" s="168" customFormat="1" ht="15" customHeight="1">
      <c r="B163" s="168" t="s">
        <v>4526</v>
      </c>
      <c r="J163" s="3113">
        <f>G132</f>
        <v>11974075</v>
      </c>
      <c r="K163" s="3114"/>
      <c r="L163" s="3115"/>
      <c r="V163" s="2513"/>
      <c r="W163" s="2514"/>
    </row>
    <row r="164" spans="2:24" s="168" customFormat="1" ht="13.5" customHeight="1">
      <c r="B164" s="168" t="s">
        <v>4528</v>
      </c>
      <c r="J164" s="3113">
        <f>'Part IV-A-Uses of Funds'!$G$83+'Part IV-A-Uses of Funds'!$G$105+SUM('Part IV-A-Uses of Funds'!$G$121:$H$123)</f>
        <v>433085</v>
      </c>
      <c r="K164" s="3114"/>
      <c r="L164" s="3115"/>
      <c r="V164" s="2513"/>
      <c r="W164" s="2514"/>
    </row>
    <row r="165" spans="2:24" s="168" customFormat="1" ht="13.5" customHeight="1">
      <c r="B165" s="2445" t="s">
        <v>4527</v>
      </c>
      <c r="J165" s="3113">
        <f>J163-J164</f>
        <v>11540990</v>
      </c>
      <c r="K165" s="3114"/>
      <c r="L165" s="3115"/>
      <c r="M165" s="3250" t="str">
        <f>IF(J165&lt;=J166, "","Exceeds Project Cost Limit!   Needs Cost Limit waiver.")</f>
        <v/>
      </c>
      <c r="N165" s="3250"/>
      <c r="O165" s="3250"/>
      <c r="P165" s="3250"/>
      <c r="Q165" s="3250"/>
      <c r="R165" s="3250"/>
      <c r="S165" s="3250"/>
      <c r="T165" s="3250"/>
      <c r="V165" s="2513"/>
      <c r="W165" s="2514"/>
    </row>
    <row r="166" spans="2:24" s="168" customFormat="1" ht="13.5" customHeight="1">
      <c r="B166" s="2515" t="s">
        <v>2679</v>
      </c>
      <c r="C166" s="2445"/>
      <c r="D166" s="2445"/>
      <c r="J166" s="3113">
        <f>'Part VIII-Threshold Criteria'!$P$63</f>
        <v>13226867.600000001</v>
      </c>
      <c r="K166" s="3114"/>
      <c r="L166" s="3115"/>
      <c r="V166" s="2513"/>
      <c r="W166" s="2514"/>
    </row>
    <row r="167" spans="2:24" s="168" customFormat="1" ht="3" customHeight="1">
      <c r="B167" s="2515"/>
      <c r="C167" s="2445"/>
      <c r="D167" s="2445"/>
      <c r="J167" s="2516"/>
      <c r="K167" s="2516"/>
      <c r="L167" s="2516"/>
      <c r="V167" s="2513"/>
      <c r="W167" s="2514"/>
    </row>
    <row r="168" spans="2:24" s="293" customFormat="1" ht="15" customHeight="1" thickBot="1">
      <c r="B168" s="295" t="s">
        <v>170</v>
      </c>
      <c r="O168" s="2357"/>
      <c r="P168" s="2357"/>
      <c r="Q168" s="2357"/>
      <c r="R168" s="2357"/>
      <c r="S168" s="2357"/>
      <c r="T168" s="2357"/>
      <c r="V168" s="1029"/>
      <c r="W168" s="419" t="str">
        <f>B160</f>
        <v>TAX CREDIT CALCULATION - GAP METHOD</v>
      </c>
    </row>
    <row r="169" spans="2:24" s="293" customFormat="1" ht="15" customHeight="1">
      <c r="B169" s="168" t="s">
        <v>4529</v>
      </c>
      <c r="J169" s="3229">
        <f>MIN(J163,J166+J164)</f>
        <v>11974075</v>
      </c>
      <c r="K169" s="3230"/>
      <c r="L169" s="3231"/>
      <c r="M169" s="3225" t="s">
        <v>4552</v>
      </c>
      <c r="N169" s="3245"/>
      <c r="O169" s="3245"/>
      <c r="P169" s="3245"/>
      <c r="Q169" s="3245"/>
      <c r="R169" s="3226"/>
      <c r="S169" s="3225" t="s">
        <v>3500</v>
      </c>
      <c r="T169" s="3226"/>
      <c r="V169" s="2486"/>
      <c r="W169" s="3122"/>
      <c r="X169" s="3123"/>
    </row>
    <row r="170" spans="2:24" s="293" customFormat="1" ht="14.1" customHeight="1">
      <c r="B170" s="293" t="s">
        <v>258</v>
      </c>
      <c r="J170" s="3131">
        <f>'Part III-Sources of Funds'!$I$58-'Part III-Sources of Funds'!$I$42-'Part III-Sources of Funds'!$I$43-'Part III-Sources of Funds'!$I$49-'Part III-Sources of Funds'!$I$50</f>
        <v>600000</v>
      </c>
      <c r="K170" s="3133"/>
      <c r="L170" s="3232"/>
      <c r="M170" s="3227"/>
      <c r="N170" s="3246"/>
      <c r="O170" s="3246"/>
      <c r="P170" s="3246"/>
      <c r="Q170" s="3246"/>
      <c r="R170" s="3228"/>
      <c r="S170" s="3227"/>
      <c r="T170" s="3228"/>
      <c r="V170" s="2486"/>
      <c r="W170" s="3122"/>
      <c r="X170" s="3123"/>
    </row>
    <row r="171" spans="2:24" s="293" customFormat="1" ht="14.1" customHeight="1">
      <c r="B171" s="293" t="s">
        <v>2176</v>
      </c>
      <c r="J171" s="3131">
        <f>+J169-J170</f>
        <v>11374075</v>
      </c>
      <c r="K171" s="3133"/>
      <c r="L171" s="3232"/>
      <c r="M171" s="3227"/>
      <c r="N171" s="3246"/>
      <c r="O171" s="3246"/>
      <c r="P171" s="3246"/>
      <c r="Q171" s="3246"/>
      <c r="R171" s="3228"/>
      <c r="S171" s="3227"/>
      <c r="T171" s="3228"/>
      <c r="V171" s="2486"/>
      <c r="W171" s="3122"/>
      <c r="X171" s="3123"/>
    </row>
    <row r="172" spans="2:24" s="293" customFormat="1" ht="14.1" customHeight="1" thickBot="1">
      <c r="B172" s="293" t="s">
        <v>1260</v>
      </c>
      <c r="J172" s="3237" t="str">
        <f>"/ 10"</f>
        <v>/ 10</v>
      </c>
      <c r="K172" s="3237"/>
      <c r="L172" s="3237"/>
      <c r="M172" s="3233" t="s">
        <v>2661</v>
      </c>
      <c r="N172" s="3234"/>
      <c r="O172" s="3235">
        <f>'Part III-Sources of Funds'!$I$42</f>
        <v>0</v>
      </c>
      <c r="P172" s="3235"/>
      <c r="Q172" s="3235"/>
      <c r="R172" s="3236"/>
      <c r="S172" s="406" t="s">
        <v>1623</v>
      </c>
      <c r="T172" s="2517"/>
      <c r="V172" s="2486"/>
      <c r="W172" s="3122"/>
      <c r="X172" s="3123"/>
    </row>
    <row r="173" spans="2:24" s="293" customFormat="1" ht="14.1" customHeight="1">
      <c r="B173" s="293" t="s">
        <v>1261</v>
      </c>
      <c r="J173" s="3131">
        <f>J171/10</f>
        <v>1137407.5</v>
      </c>
      <c r="K173" s="3133"/>
      <c r="L173" s="3132"/>
      <c r="M173" s="2357"/>
      <c r="N173" s="464"/>
      <c r="O173" s="464"/>
      <c r="P173" s="464"/>
      <c r="Q173" s="464"/>
      <c r="R173" s="464"/>
      <c r="V173" s="1029"/>
      <c r="W173" s="3122"/>
      <c r="X173" s="3123"/>
    </row>
    <row r="174" spans="2:24" s="293" customFormat="1" ht="14.1" customHeight="1">
      <c r="M174" s="311"/>
      <c r="N174" s="2722" t="s">
        <v>1262</v>
      </c>
      <c r="O174" s="2722"/>
      <c r="Q174" s="2722" t="s">
        <v>1754</v>
      </c>
      <c r="R174" s="2722"/>
      <c r="V174" s="2486"/>
      <c r="W174" s="3122"/>
      <c r="X174" s="3123"/>
    </row>
    <row r="175" spans="2:24" s="293" customFormat="1" ht="14.1" customHeight="1" thickBot="1">
      <c r="B175" s="293" t="s">
        <v>1453</v>
      </c>
      <c r="J175" s="3217">
        <f>N175+Q175</f>
        <v>1.42</v>
      </c>
      <c r="K175" s="3218"/>
      <c r="L175" s="3219"/>
      <c r="M175" s="2352" t="s">
        <v>1263</v>
      </c>
      <c r="N175" s="3220">
        <v>0.88</v>
      </c>
      <c r="O175" s="3221"/>
      <c r="P175" s="2352" t="s">
        <v>595</v>
      </c>
      <c r="Q175" s="3220">
        <v>0.54</v>
      </c>
      <c r="R175" s="3221"/>
      <c r="V175" s="2486"/>
      <c r="W175" s="3122"/>
      <c r="X175" s="3123"/>
    </row>
    <row r="176" spans="2:24" s="293" customFormat="1" ht="14.1" customHeight="1" thickBot="1">
      <c r="B176" s="295" t="s">
        <v>1397</v>
      </c>
      <c r="J176" s="3094">
        <f>ROUNDDOWN(IF(J175=0,"",J173/J175),0)</f>
        <v>800991</v>
      </c>
      <c r="K176" s="3128"/>
      <c r="L176" s="3095"/>
      <c r="M176" s="311"/>
      <c r="N176" s="2357"/>
      <c r="O176" s="2357"/>
      <c r="V176" s="2486"/>
      <c r="W176" s="3122"/>
      <c r="X176" s="3123"/>
    </row>
    <row r="177" spans="1:24" s="293" customFormat="1" ht="6" customHeight="1">
      <c r="J177" s="361"/>
      <c r="K177" s="361"/>
      <c r="L177" s="361"/>
      <c r="M177" s="311"/>
      <c r="N177" s="2358"/>
      <c r="O177" s="2358"/>
      <c r="V177" s="1029"/>
      <c r="W177" s="3122"/>
      <c r="X177" s="3123"/>
    </row>
    <row r="178" spans="1:24" s="293" customFormat="1" ht="14.1" customHeight="1">
      <c r="A178" s="419" t="s">
        <v>1748</v>
      </c>
      <c r="B178" s="419" t="s">
        <v>4525</v>
      </c>
      <c r="H178" s="351"/>
      <c r="I178" s="351"/>
      <c r="L178" s="2357"/>
      <c r="M178" s="467"/>
      <c r="N178" s="2357"/>
      <c r="O178" s="2357"/>
      <c r="P178" s="2357"/>
      <c r="Q178" s="2357"/>
      <c r="R178" s="2357"/>
      <c r="S178" s="2357"/>
      <c r="T178" s="2357"/>
      <c r="V178" s="1029"/>
    </row>
    <row r="179" spans="1:24" s="168" customFormat="1" ht="3" customHeight="1">
      <c r="H179" s="2510"/>
      <c r="I179" s="2510"/>
      <c r="M179" s="535"/>
      <c r="O179" s="3112"/>
      <c r="P179" s="3112"/>
      <c r="Q179" s="3112"/>
      <c r="R179" s="3112"/>
      <c r="S179" s="3112"/>
      <c r="T179" s="3112"/>
      <c r="U179" s="3112"/>
      <c r="V179" s="3112"/>
    </row>
    <row r="180" spans="1:24" s="293" customFormat="1" ht="16.350000000000001" customHeight="1">
      <c r="B180" s="295" t="s">
        <v>4803</v>
      </c>
      <c r="J180" s="322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800991</v>
      </c>
      <c r="K180" s="3223"/>
      <c r="L180" s="3224"/>
      <c r="M180" s="311"/>
      <c r="N180" s="2358"/>
      <c r="O180" s="2358"/>
      <c r="V180" s="2486"/>
      <c r="W180" s="3122"/>
      <c r="X180" s="3123"/>
    </row>
    <row r="181" spans="1:24" s="293" customFormat="1" ht="3" customHeight="1">
      <c r="J181" s="361"/>
      <c r="K181" s="361"/>
      <c r="L181" s="361"/>
      <c r="M181" s="311"/>
      <c r="N181" s="2358"/>
      <c r="O181" s="2358"/>
      <c r="V181" s="1029"/>
      <c r="W181" s="2506"/>
      <c r="X181" s="2507"/>
    </row>
    <row r="182" spans="1:24" s="293" customFormat="1" ht="16.350000000000001" customHeight="1">
      <c r="B182" s="295" t="s">
        <v>4804</v>
      </c>
      <c r="J182" s="3238">
        <v>800991</v>
      </c>
      <c r="K182" s="3239"/>
      <c r="L182" s="3240"/>
      <c r="M182" s="362" t="str">
        <f>IF(J180=0,"",IF(J182&gt;J180,"ALLOCATION CANNOT EXCEED MAXIMUM - REVISE REQUEST (Try Round Down)!",""))</f>
        <v/>
      </c>
      <c r="N182" s="2358"/>
      <c r="O182" s="2358"/>
      <c r="V182" s="2486"/>
      <c r="W182" s="3122"/>
      <c r="X182" s="3123"/>
    </row>
    <row r="183" spans="1:24" s="293" customFormat="1" ht="3" customHeight="1">
      <c r="J183" s="361"/>
      <c r="K183" s="361"/>
      <c r="L183" s="361"/>
      <c r="M183" s="311"/>
      <c r="N183" s="2358"/>
      <c r="O183" s="2358"/>
      <c r="V183" s="1029"/>
      <c r="W183" s="2506"/>
      <c r="X183" s="2507"/>
    </row>
    <row r="184" spans="1:24" s="293" customFormat="1" ht="16.350000000000001" customHeight="1">
      <c r="A184" s="419"/>
      <c r="B184" s="419" t="s">
        <v>4805</v>
      </c>
      <c r="D184" s="311"/>
      <c r="E184" s="311"/>
      <c r="F184" s="2349"/>
      <c r="J184" s="3241">
        <f>IF(J182="",0,+MIN(J180,J182))</f>
        <v>800991</v>
      </c>
      <c r="K184" s="3242"/>
      <c r="L184" s="3243"/>
      <c r="N184" s="2518"/>
      <c r="O184" s="2518"/>
      <c r="P184" s="2518"/>
      <c r="Q184" s="2518"/>
      <c r="R184" s="2518"/>
      <c r="S184" s="2518"/>
      <c r="T184" s="2518"/>
      <c r="V184" s="2486"/>
      <c r="W184" s="3122"/>
      <c r="X184" s="3123"/>
    </row>
    <row r="185" spans="1:24" ht="3" customHeight="1"/>
    <row r="186" spans="1:24" ht="6" customHeight="1"/>
    <row r="187" spans="1:24" ht="12" customHeight="1">
      <c r="A187" s="295" t="s">
        <v>1750</v>
      </c>
      <c r="B187" s="319" t="s">
        <v>555</v>
      </c>
      <c r="N187" s="295" t="s">
        <v>516</v>
      </c>
      <c r="O187" s="295" t="s">
        <v>77</v>
      </c>
    </row>
    <row r="188" spans="1:24" ht="352.5" customHeight="1">
      <c r="A188" s="3076" t="s">
        <v>7033</v>
      </c>
      <c r="B188" s="3076"/>
      <c r="C188" s="3076"/>
      <c r="D188" s="3076"/>
      <c r="E188" s="3076"/>
      <c r="F188" s="3076"/>
      <c r="G188" s="3076"/>
      <c r="H188" s="3076"/>
      <c r="I188" s="3076"/>
      <c r="J188" s="3076"/>
      <c r="K188" s="3076"/>
      <c r="L188" s="3076"/>
      <c r="M188" s="3076"/>
      <c r="N188" s="3244"/>
      <c r="O188" s="3244"/>
      <c r="P188" s="3244"/>
      <c r="Q188" s="3244"/>
      <c r="R188" s="3244"/>
      <c r="S188" s="3244"/>
      <c r="T188" s="3244"/>
      <c r="V188" s="924"/>
      <c r="W188" s="3074" t="s">
        <v>2614</v>
      </c>
      <c r="X188" s="307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xkPtRcmN+gvfOVc2zZb3KVcJZJrbRRIGp8nACVYTDz/k0B+Axkko2EqSw4IleAHyreHNjNY7XAK7zn9vUiNXwA==" saltValue="njjhsCKAMwngPDnieCaHw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3" priority="10" operator="greaterThan">
      <formula>$G$35</formula>
    </cfRule>
  </conditionalFormatting>
  <conditionalFormatting sqref="M36:N37 P36:Q37">
    <cfRule type="cellIs" dxfId="182" priority="9" operator="greaterThan">
      <formula>$G$37</formula>
    </cfRule>
  </conditionalFormatting>
  <conditionalFormatting sqref="G35">
    <cfRule type="cellIs" dxfId="181" priority="13" stopIfTrue="1" operator="greaterThan">
      <formula>$E35</formula>
    </cfRule>
  </conditionalFormatting>
  <conditionalFormatting sqref="G36">
    <cfRule type="cellIs" dxfId="180" priority="14" stopIfTrue="1" operator="greaterThan">
      <formula>$E$36</formula>
    </cfRule>
  </conditionalFormatting>
  <conditionalFormatting sqref="G37">
    <cfRule type="cellIs" dxfId="179" priority="15" operator="greaterThan">
      <formula>$E$37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63" t="str">
        <f>CONCATENATE("PART FOUR (b) -  OTHER COSTS","  -  ",'Part I-Project Information'!$O$6," - ",'Part I-Project Information'!$F$34,"  -  ",'Part I-Project Information'!$F$38,"  -  ",'Part I-Project Information'!$J$39,",  ","County")</f>
        <v>PART FOUR (b) -  OTHER COSTS  -  2020-091 - The Pointe at St. Martin  -  Hartwell  -  Hart,  County</v>
      </c>
      <c r="B1" s="3264"/>
      <c r="C1" s="3264"/>
      <c r="D1" s="3264"/>
      <c r="E1" s="3264"/>
      <c r="F1" s="3264"/>
      <c r="G1" s="3264"/>
      <c r="H1" s="3264"/>
      <c r="I1" s="900"/>
      <c r="J1" s="900"/>
      <c r="K1" s="900"/>
      <c r="L1" s="900"/>
      <c r="M1" s="900"/>
      <c r="N1" s="900"/>
    </row>
    <row r="2" spans="1:14" ht="9" customHeight="1"/>
    <row r="3" spans="1:14" ht="57" customHeight="1">
      <c r="A3" s="3265" t="s">
        <v>3534</v>
      </c>
      <c r="B3" s="3266"/>
      <c r="C3" s="3266"/>
      <c r="D3" s="3266"/>
      <c r="E3" s="3266"/>
      <c r="F3" s="3266"/>
      <c r="G3" s="3266"/>
      <c r="H3" s="3267"/>
    </row>
    <row r="4" spans="1:14" ht="6" customHeight="1"/>
    <row r="5" spans="1:14" ht="38.25" customHeight="1">
      <c r="A5" s="3268" t="s">
        <v>3624</v>
      </c>
      <c r="B5" s="3268"/>
      <c r="C5" s="3268"/>
      <c r="D5" s="3268"/>
      <c r="F5" s="901" t="s">
        <v>3525</v>
      </c>
      <c r="G5" s="537"/>
      <c r="H5" s="901" t="s">
        <v>3526</v>
      </c>
    </row>
    <row r="6" spans="1:14" ht="6.75" customHeight="1">
      <c r="A6" s="537"/>
      <c r="B6" s="537"/>
      <c r="C6" s="537"/>
      <c r="D6" s="537"/>
    </row>
    <row r="7" spans="1:14" s="2519" customFormat="1" ht="4.5" customHeight="1">
      <c r="A7" s="902"/>
      <c r="B7" s="902"/>
      <c r="C7" s="902"/>
      <c r="D7" s="902"/>
      <c r="E7" s="902"/>
      <c r="F7" s="902"/>
      <c r="G7" s="902"/>
    </row>
    <row r="8" spans="1:14" s="2519" customFormat="1">
      <c r="A8" s="911" t="s">
        <v>99</v>
      </c>
      <c r="B8" s="903"/>
      <c r="C8" s="903"/>
      <c r="D8" s="903"/>
      <c r="E8" s="903"/>
      <c r="F8" s="903"/>
      <c r="G8" s="903"/>
      <c r="H8" s="903"/>
    </row>
    <row r="9" spans="1:14" s="2519" customFormat="1" ht="41.25" customHeight="1">
      <c r="A9" s="3269" t="str">
        <f>'Part IV-A-Uses of Funds'!$C$14</f>
        <v>&lt;&lt; Enter description here; provide detail &amp; justification in tab Part IV-b &gt;&gt;</v>
      </c>
      <c r="B9" s="3270"/>
      <c r="C9" s="3270"/>
      <c r="D9" s="3271"/>
      <c r="F9" s="3275"/>
      <c r="G9" s="903"/>
      <c r="H9" s="3275"/>
    </row>
    <row r="10" spans="1:14" s="2519" customFormat="1" ht="41.25" customHeight="1">
      <c r="A10" s="3272"/>
      <c r="B10" s="3273"/>
      <c r="C10" s="3273"/>
      <c r="D10" s="3274"/>
      <c r="F10" s="3276"/>
      <c r="G10" s="903"/>
      <c r="H10" s="3276"/>
    </row>
    <row r="11" spans="1:14" s="2519" customFormat="1" ht="4.5" customHeight="1">
      <c r="F11" s="3276"/>
      <c r="G11" s="903"/>
      <c r="H11" s="3276"/>
    </row>
    <row r="12" spans="1:14" s="2519" customFormat="1" ht="15" customHeight="1">
      <c r="A12" s="910" t="s">
        <v>3528</v>
      </c>
      <c r="B12" s="909">
        <f>'Part IV-A-Uses of Funds'!$G$14</f>
        <v>0</v>
      </c>
      <c r="C12" s="910" t="s">
        <v>1746</v>
      </c>
      <c r="D12" s="909">
        <f>'Part IV-A-Uses of Funds'!$J$14+'Part IV-A-Uses of Funds'!$M$14+'Part IV-A-Uses of Funds'!$P$14</f>
        <v>0</v>
      </c>
      <c r="F12" s="3276"/>
      <c r="G12" s="903"/>
      <c r="H12" s="3276"/>
    </row>
    <row r="13" spans="1:14" s="2519" customFormat="1" ht="6" customHeight="1">
      <c r="A13" s="903"/>
      <c r="B13" s="904"/>
      <c r="C13" s="903"/>
      <c r="D13" s="903"/>
      <c r="F13" s="3276"/>
      <c r="G13" s="905"/>
      <c r="H13" s="3276"/>
    </row>
    <row r="14" spans="1:14" s="2519" customFormat="1" ht="41.25" customHeight="1">
      <c r="A14" s="3269" t="str">
        <f>'Part IV-A-Uses of Funds'!$C$15</f>
        <v>&lt;&lt; Enter description here; provide detail &amp; justification in tab Part IV-b &gt;&gt;</v>
      </c>
      <c r="B14" s="3270"/>
      <c r="C14" s="3270"/>
      <c r="D14" s="3271"/>
      <c r="F14" s="3276"/>
      <c r="G14" s="903"/>
      <c r="H14" s="3276"/>
    </row>
    <row r="15" spans="1:14" s="2519" customFormat="1" ht="41.25" customHeight="1">
      <c r="A15" s="3272"/>
      <c r="B15" s="3273"/>
      <c r="C15" s="3273"/>
      <c r="D15" s="3274"/>
      <c r="F15" s="3276"/>
      <c r="G15" s="903"/>
      <c r="H15" s="3276"/>
    </row>
    <row r="16" spans="1:14" s="2519" customFormat="1" ht="4.5" customHeight="1">
      <c r="F16" s="3276"/>
      <c r="G16" s="903"/>
      <c r="H16" s="3276"/>
    </row>
    <row r="17" spans="1:8" s="2519" customFormat="1" ht="15" customHeight="1">
      <c r="A17" s="910" t="s">
        <v>3528</v>
      </c>
      <c r="B17" s="909">
        <f>'Part IV-A-Uses of Funds'!$G$15</f>
        <v>0</v>
      </c>
      <c r="C17" s="910" t="s">
        <v>1746</v>
      </c>
      <c r="D17" s="909">
        <f>'Part IV-A-Uses of Funds'!$J$15+'Part IV-A-Uses of Funds'!$M$15+'Part IV-A-Uses of Funds'!$P$15</f>
        <v>0</v>
      </c>
      <c r="F17" s="3276"/>
      <c r="G17" s="903"/>
      <c r="H17" s="3276"/>
    </row>
    <row r="18" spans="1:8" s="2519" customFormat="1" ht="6" customHeight="1">
      <c r="A18" s="903"/>
      <c r="B18" s="904"/>
      <c r="C18" s="903"/>
      <c r="D18" s="903"/>
      <c r="F18" s="3276"/>
      <c r="G18" s="905"/>
      <c r="H18" s="3276"/>
    </row>
    <row r="19" spans="1:8" s="2519" customFormat="1" ht="41.25" customHeight="1">
      <c r="A19" s="3269" t="str">
        <f>'Part IV-A-Uses of Funds'!$C$16</f>
        <v>&lt;&lt; Enter description here; provide detail &amp; justification in tab Part IV-b &gt;&gt;</v>
      </c>
      <c r="B19" s="3270"/>
      <c r="C19" s="3270"/>
      <c r="D19" s="3271"/>
      <c r="F19" s="3276"/>
      <c r="G19" s="903"/>
      <c r="H19" s="3276"/>
    </row>
    <row r="20" spans="1:8" s="2519" customFormat="1" ht="41.25" customHeight="1">
      <c r="A20" s="3272"/>
      <c r="B20" s="3273"/>
      <c r="C20" s="3273"/>
      <c r="D20" s="3274"/>
      <c r="F20" s="3276"/>
      <c r="G20" s="903"/>
      <c r="H20" s="3276"/>
    </row>
    <row r="21" spans="1:8" s="2519" customFormat="1" ht="4.5" customHeight="1">
      <c r="F21" s="3276"/>
      <c r="G21" s="903"/>
      <c r="H21" s="3276"/>
    </row>
    <row r="22" spans="1:8" s="2519" customFormat="1" ht="15" customHeight="1">
      <c r="A22" s="910" t="s">
        <v>3528</v>
      </c>
      <c r="B22" s="909">
        <f>'Part IV-A-Uses of Funds'!$G$16</f>
        <v>0</v>
      </c>
      <c r="C22" s="910" t="s">
        <v>1746</v>
      </c>
      <c r="D22" s="909">
        <f>'Part IV-A-Uses of Funds'!$J$16+'Part IV-A-Uses of Funds'!$M$16+'Part IV-A-Uses of Funds'!$P$16</f>
        <v>0</v>
      </c>
      <c r="F22" s="3276"/>
      <c r="G22" s="903"/>
      <c r="H22" s="3276"/>
    </row>
    <row r="23" spans="1:8" s="2519" customFormat="1" ht="6" customHeight="1">
      <c r="A23" s="903"/>
      <c r="B23" s="904"/>
      <c r="C23" s="903"/>
      <c r="D23" s="903"/>
      <c r="F23" s="3277"/>
      <c r="G23" s="905"/>
      <c r="H23" s="3277"/>
    </row>
    <row r="24" spans="1:8" s="2519" customFormat="1">
      <c r="A24" s="911" t="s">
        <v>3527</v>
      </c>
      <c r="B24" s="903"/>
      <c r="C24" s="903"/>
      <c r="D24" s="903"/>
      <c r="E24" s="903"/>
      <c r="F24" s="903"/>
      <c r="G24" s="903"/>
    </row>
    <row r="25" spans="1:8" s="2519" customFormat="1" ht="41.25" customHeight="1">
      <c r="A25" s="3269" t="str">
        <f>'Part IV-A-Uses of Funds'!$C$41</f>
        <v>&lt;&lt; Enter description here; provide detail &amp; justification in tab Part IV-b &gt;&gt;</v>
      </c>
      <c r="B25" s="3270"/>
      <c r="C25" s="3270"/>
      <c r="D25" s="3271"/>
      <c r="E25" s="903"/>
      <c r="F25" s="3278"/>
      <c r="G25" s="903"/>
      <c r="H25" s="3278"/>
    </row>
    <row r="26" spans="1:8" s="2519" customFormat="1" ht="41.25" customHeight="1">
      <c r="A26" s="3272"/>
      <c r="B26" s="3273"/>
      <c r="C26" s="3273"/>
      <c r="D26" s="3274"/>
      <c r="E26" s="903"/>
      <c r="F26" s="3279"/>
      <c r="G26" s="903"/>
      <c r="H26" s="3279"/>
    </row>
    <row r="27" spans="1:8" s="2519" customFormat="1" ht="4.5" customHeight="1">
      <c r="A27" s="903"/>
      <c r="B27" s="903"/>
      <c r="C27" s="903"/>
      <c r="D27" s="903"/>
      <c r="E27" s="903"/>
      <c r="F27" s="3279"/>
      <c r="G27" s="903"/>
      <c r="H27" s="3279"/>
    </row>
    <row r="28" spans="1:8" s="2519" customFormat="1" ht="10.199999999999999">
      <c r="A28" s="910" t="s">
        <v>3528</v>
      </c>
      <c r="B28" s="909">
        <f>'Part IV-A-Uses of Funds'!$G$41</f>
        <v>0</v>
      </c>
      <c r="C28" s="910" t="s">
        <v>1746</v>
      </c>
      <c r="D28" s="909">
        <f>'Part IV-A-Uses of Funds'!$J$41+'Part IV-A-Uses of Funds'!$M$41+'Part IV-A-Uses of Funds'!$P$41</f>
        <v>0</v>
      </c>
      <c r="E28" s="903"/>
      <c r="F28" s="3279"/>
      <c r="G28" s="903"/>
      <c r="H28" s="3279"/>
    </row>
    <row r="29" spans="1:8" s="2519" customFormat="1" ht="6" customHeight="1">
      <c r="A29" s="903"/>
      <c r="B29" s="904"/>
      <c r="C29" s="903"/>
      <c r="D29" s="903"/>
      <c r="E29" s="903"/>
      <c r="F29" s="3280"/>
      <c r="G29" s="905"/>
      <c r="H29" s="3280"/>
    </row>
    <row r="30" spans="1:8" s="2519" customFormat="1">
      <c r="A30" s="911" t="s">
        <v>704</v>
      </c>
      <c r="B30" s="903"/>
      <c r="C30" s="903"/>
      <c r="D30" s="903"/>
      <c r="E30" s="903"/>
      <c r="F30" s="903"/>
      <c r="G30" s="903"/>
    </row>
    <row r="31" spans="1:8" s="2519" customFormat="1" ht="41.25" customHeight="1">
      <c r="A31" s="3281" t="str">
        <f>'Part IV-A-Uses of Funds'!$C$62</f>
        <v>&lt;&lt; Enter description here; provide detail &amp; justification in tab Part IV-b &gt;&gt;</v>
      </c>
      <c r="B31" s="3282"/>
      <c r="C31" s="3282"/>
      <c r="D31" s="3283"/>
      <c r="E31" s="903"/>
      <c r="F31" s="3275"/>
      <c r="G31" s="903"/>
      <c r="H31" s="3275"/>
    </row>
    <row r="32" spans="1:8" s="2519" customFormat="1" ht="41.25" customHeight="1">
      <c r="A32" s="3272"/>
      <c r="B32" s="3273"/>
      <c r="C32" s="3273"/>
      <c r="D32" s="3274"/>
      <c r="E32" s="903"/>
      <c r="F32" s="3276"/>
      <c r="G32" s="903"/>
      <c r="H32" s="3276"/>
    </row>
    <row r="33" spans="1:8" s="2519" customFormat="1" ht="4.5" customHeight="1">
      <c r="A33" s="903"/>
      <c r="B33" s="903"/>
      <c r="C33" s="903"/>
      <c r="D33" s="903"/>
      <c r="E33" s="903"/>
      <c r="F33" s="3276"/>
      <c r="G33" s="903"/>
      <c r="H33" s="3276"/>
    </row>
    <row r="34" spans="1:8" s="2519" customFormat="1" ht="14.25" customHeight="1">
      <c r="A34" s="910" t="s">
        <v>3528</v>
      </c>
      <c r="B34" s="909">
        <f>'Part IV-A-Uses of Funds'!$G$62</f>
        <v>0</v>
      </c>
      <c r="C34" s="910" t="s">
        <v>1746</v>
      </c>
      <c r="D34" s="909">
        <f>'Part IV-A-Uses of Funds'!$J$62+'Part IV-A-Uses of Funds'!$M$62+'Part IV-A-Uses of Funds'!$P$62</f>
        <v>0</v>
      </c>
      <c r="E34" s="903"/>
      <c r="F34" s="3276"/>
      <c r="G34" s="903"/>
      <c r="H34" s="3276"/>
    </row>
    <row r="35" spans="1:8" s="2519" customFormat="1" ht="6" customHeight="1">
      <c r="D35" s="903"/>
      <c r="E35" s="903"/>
      <c r="F35" s="3276"/>
      <c r="G35" s="905"/>
      <c r="H35" s="3276"/>
    </row>
    <row r="36" spans="1:8" s="2519" customFormat="1" ht="41.25" customHeight="1">
      <c r="A36" s="3281" t="str">
        <f>'Part IV-A-Uses of Funds'!$C$63</f>
        <v>&lt;&lt; Enter description here; provide detail &amp; justification in tab Part IV-b &gt;&gt;</v>
      </c>
      <c r="B36" s="3282"/>
      <c r="C36" s="3282"/>
      <c r="D36" s="3283"/>
      <c r="E36" s="903"/>
      <c r="F36" s="3276"/>
      <c r="G36" s="903"/>
      <c r="H36" s="3276"/>
    </row>
    <row r="37" spans="1:8" s="2519" customFormat="1" ht="41.25" customHeight="1">
      <c r="A37" s="3272"/>
      <c r="B37" s="3273"/>
      <c r="C37" s="3273"/>
      <c r="D37" s="3274"/>
      <c r="E37" s="903"/>
      <c r="F37" s="3276"/>
      <c r="G37" s="903"/>
      <c r="H37" s="3276"/>
    </row>
    <row r="38" spans="1:8" s="2519" customFormat="1" ht="4.5" customHeight="1">
      <c r="A38" s="903"/>
      <c r="B38" s="903"/>
      <c r="C38" s="903"/>
      <c r="D38" s="903"/>
      <c r="E38" s="903"/>
      <c r="F38" s="3276"/>
      <c r="G38" s="903"/>
      <c r="H38" s="3276"/>
    </row>
    <row r="39" spans="1:8" s="2519" customFormat="1" ht="14.25" customHeight="1">
      <c r="A39" s="910" t="s">
        <v>3528</v>
      </c>
      <c r="B39" s="909">
        <f>'Part IV-A-Uses of Funds'!$G$63</f>
        <v>0</v>
      </c>
      <c r="C39" s="910" t="s">
        <v>1746</v>
      </c>
      <c r="D39" s="909">
        <f>'Part IV-A-Uses of Funds'!$J$63+'Part IV-A-Uses of Funds'!$M$63+'Part IV-A-Uses of Funds'!$P$63</f>
        <v>0</v>
      </c>
      <c r="E39" s="903"/>
      <c r="F39" s="3276"/>
      <c r="G39" s="903"/>
      <c r="H39" s="3276"/>
    </row>
    <row r="40" spans="1:8" s="2519" customFormat="1" ht="6" customHeight="1">
      <c r="D40" s="903"/>
      <c r="E40" s="903"/>
      <c r="F40" s="3277"/>
      <c r="G40" s="905"/>
      <c r="H40" s="3277"/>
    </row>
    <row r="41" spans="1:8" s="2519" customFormat="1">
      <c r="A41" s="911" t="s">
        <v>467</v>
      </c>
      <c r="B41" s="903"/>
      <c r="C41" s="903"/>
      <c r="D41" s="903"/>
      <c r="E41" s="907"/>
      <c r="F41" s="907"/>
      <c r="G41" s="903"/>
    </row>
    <row r="42" spans="1:8" s="2519" customFormat="1" ht="41.25" customHeight="1">
      <c r="A42" s="3281" t="str">
        <f>'Part IV-A-Uses of Funds'!$C$76</f>
        <v>&lt;&lt; Enter description here; provide detail &amp; justification in tab Part IV-b &gt;&gt;</v>
      </c>
      <c r="B42" s="3282"/>
      <c r="C42" s="3282"/>
      <c r="D42" s="3283"/>
      <c r="F42" s="3278"/>
      <c r="G42" s="903"/>
      <c r="H42" s="3278"/>
    </row>
    <row r="43" spans="1:8" s="2519" customFormat="1" ht="41.25" customHeight="1">
      <c r="A43" s="3272"/>
      <c r="B43" s="3273"/>
      <c r="C43" s="3273"/>
      <c r="D43" s="3274"/>
      <c r="E43" s="903"/>
      <c r="F43" s="3279"/>
      <c r="G43" s="903"/>
      <c r="H43" s="3279"/>
    </row>
    <row r="44" spans="1:8" s="2519" customFormat="1" ht="4.5" customHeight="1">
      <c r="A44" s="903"/>
      <c r="B44" s="903"/>
      <c r="C44" s="903"/>
      <c r="D44" s="903"/>
      <c r="E44" s="903"/>
      <c r="F44" s="3279"/>
      <c r="G44" s="903"/>
      <c r="H44" s="3279"/>
    </row>
    <row r="45" spans="1:8" s="2519" customFormat="1" ht="13.5" customHeight="1">
      <c r="A45" s="910" t="s">
        <v>3528</v>
      </c>
      <c r="B45" s="909">
        <f>'Part IV-A-Uses of Funds'!$G$76</f>
        <v>0</v>
      </c>
      <c r="C45" s="910" t="s">
        <v>1746</v>
      </c>
      <c r="D45" s="909">
        <f>'Part IV-A-Uses of Funds'!$J$76+'Part IV-A-Uses of Funds'!$M$76+'Part IV-A-Uses of Funds'!$P$76</f>
        <v>0</v>
      </c>
      <c r="E45" s="903"/>
      <c r="F45" s="3279"/>
      <c r="G45" s="903"/>
      <c r="H45" s="3279"/>
    </row>
    <row r="46" spans="1:8" s="2519" customFormat="1" ht="6" customHeight="1">
      <c r="A46" s="903"/>
      <c r="B46" s="904"/>
      <c r="C46" s="903"/>
      <c r="D46" s="903"/>
      <c r="E46" s="903"/>
      <c r="F46" s="3280"/>
      <c r="G46" s="905"/>
      <c r="H46" s="3280"/>
    </row>
    <row r="47" spans="1:8" s="2519" customFormat="1">
      <c r="A47" s="911" t="s">
        <v>706</v>
      </c>
      <c r="B47" s="903"/>
      <c r="C47" s="903"/>
      <c r="D47" s="903"/>
      <c r="E47" s="903"/>
      <c r="F47" s="903"/>
      <c r="G47" s="903"/>
    </row>
    <row r="48" spans="1:8" s="2519" customFormat="1" ht="41.25" customHeight="1">
      <c r="A48" s="3281" t="str">
        <f>'Part IV-A-Uses of Funds'!$C$90</f>
        <v>1st Year Perm Insurance</v>
      </c>
      <c r="B48" s="3282"/>
      <c r="C48" s="3282"/>
      <c r="D48" s="3283"/>
      <c r="F48" s="3278" t="s">
        <v>7034</v>
      </c>
      <c r="G48" s="903"/>
    </row>
    <row r="49" spans="1:7" s="2519" customFormat="1" ht="41.25" customHeight="1">
      <c r="A49" s="3272"/>
      <c r="B49" s="3273"/>
      <c r="C49" s="3273"/>
      <c r="D49" s="3274"/>
      <c r="E49" s="903"/>
      <c r="F49" s="3279"/>
      <c r="G49" s="903"/>
    </row>
    <row r="50" spans="1:7" s="2519" customFormat="1" ht="3" customHeight="1">
      <c r="A50" s="903"/>
      <c r="B50" s="903"/>
      <c r="C50" s="903"/>
      <c r="D50" s="903"/>
      <c r="E50" s="903"/>
      <c r="F50" s="3279"/>
      <c r="G50" s="903"/>
    </row>
    <row r="51" spans="1:7" s="2519" customFormat="1" ht="13.5" customHeight="1">
      <c r="A51" s="910" t="s">
        <v>3528</v>
      </c>
      <c r="B51" s="909">
        <f>'Part IV-A-Uses of Funds'!$G$90</f>
        <v>16200</v>
      </c>
      <c r="C51" s="906"/>
      <c r="D51" s="906"/>
      <c r="E51" s="903"/>
      <c r="F51" s="3279"/>
      <c r="G51" s="903"/>
    </row>
    <row r="52" spans="1:7" s="2519" customFormat="1" ht="3.75" customHeight="1">
      <c r="A52" s="903"/>
      <c r="B52" s="903"/>
      <c r="C52" s="903"/>
      <c r="D52" s="903"/>
      <c r="E52" s="903"/>
      <c r="F52" s="3280"/>
      <c r="G52" s="905"/>
    </row>
    <row r="53" spans="1:7" s="2519" customFormat="1">
      <c r="A53" s="911" t="s">
        <v>3529</v>
      </c>
      <c r="B53" s="903"/>
      <c r="C53" s="903"/>
      <c r="D53" s="903"/>
      <c r="E53" s="903"/>
      <c r="F53" s="903"/>
      <c r="G53" s="903"/>
    </row>
    <row r="54" spans="1:7" s="2519" customFormat="1" ht="41.25" customHeight="1">
      <c r="A54" s="3281" t="str">
        <f>'Part IV-A-Uses of Funds'!$C$103</f>
        <v>&lt;&lt; Enter description here; provide detail &amp; justification in tab Part IV-b &gt;&gt;</v>
      </c>
      <c r="B54" s="3282"/>
      <c r="C54" s="3282"/>
      <c r="D54" s="3283"/>
      <c r="F54" s="3275"/>
      <c r="G54" s="903"/>
    </row>
    <row r="55" spans="1:7" s="2519" customFormat="1" ht="41.25" customHeight="1">
      <c r="A55" s="3272"/>
      <c r="B55" s="3273"/>
      <c r="C55" s="3273"/>
      <c r="D55" s="3274"/>
      <c r="E55" s="903"/>
      <c r="F55" s="3276"/>
      <c r="G55" s="903"/>
    </row>
    <row r="56" spans="1:7" s="2519" customFormat="1" ht="3" customHeight="1">
      <c r="A56" s="903"/>
      <c r="B56" s="903"/>
      <c r="C56" s="903"/>
      <c r="D56" s="903"/>
      <c r="E56" s="903"/>
      <c r="F56" s="3276"/>
      <c r="G56" s="903"/>
    </row>
    <row r="57" spans="1:7" s="2519" customFormat="1" ht="10.199999999999999">
      <c r="A57" s="910" t="s">
        <v>3528</v>
      </c>
      <c r="B57" s="909">
        <f>'Part IV-A-Uses of Funds'!$G$103</f>
        <v>0</v>
      </c>
      <c r="C57" s="906"/>
      <c r="D57" s="906"/>
      <c r="E57" s="903"/>
      <c r="F57" s="3276"/>
      <c r="G57" s="903"/>
    </row>
    <row r="58" spans="1:7" s="2519" customFormat="1" ht="3.75" customHeight="1">
      <c r="A58" s="902"/>
      <c r="B58" s="902"/>
      <c r="C58" s="902"/>
      <c r="D58" s="902"/>
      <c r="E58" s="902"/>
      <c r="F58" s="3276"/>
      <c r="G58" s="905"/>
    </row>
    <row r="59" spans="1:7" s="2519" customFormat="1" ht="41.25" customHeight="1">
      <c r="A59" s="3281" t="str">
        <f>'Part IV-A-Uses of Funds'!$C$104</f>
        <v>&lt;&lt; Enter description here; provide detail &amp; justification in tab Part IV-b &gt;&gt;</v>
      </c>
      <c r="B59" s="3282"/>
      <c r="C59" s="3282"/>
      <c r="D59" s="3283"/>
      <c r="F59" s="3276"/>
      <c r="G59" s="903"/>
    </row>
    <row r="60" spans="1:7" s="2519" customFormat="1" ht="41.25" customHeight="1">
      <c r="A60" s="3272"/>
      <c r="B60" s="3273"/>
      <c r="C60" s="3273"/>
      <c r="D60" s="3274"/>
      <c r="E60" s="903"/>
      <c r="F60" s="3276"/>
      <c r="G60" s="903"/>
    </row>
    <row r="61" spans="1:7" s="2519" customFormat="1" ht="3" customHeight="1">
      <c r="A61" s="903"/>
      <c r="B61" s="903"/>
      <c r="C61" s="903"/>
      <c r="D61" s="903"/>
      <c r="E61" s="903"/>
      <c r="F61" s="3276"/>
      <c r="G61" s="903"/>
    </row>
    <row r="62" spans="1:7" s="2519" customFormat="1" ht="10.199999999999999">
      <c r="A62" s="910" t="s">
        <v>3528</v>
      </c>
      <c r="B62" s="909">
        <f>'Part IV-A-Uses of Funds'!$G$104</f>
        <v>0</v>
      </c>
      <c r="C62" s="906"/>
      <c r="D62" s="906"/>
      <c r="E62" s="903"/>
      <c r="F62" s="3276"/>
      <c r="G62" s="903"/>
    </row>
    <row r="63" spans="1:7" s="2519" customFormat="1" ht="3.75" customHeight="1">
      <c r="A63" s="902"/>
      <c r="B63" s="902"/>
      <c r="C63" s="902"/>
      <c r="D63" s="902"/>
      <c r="E63" s="902"/>
      <c r="F63" s="3277"/>
      <c r="G63" s="905"/>
    </row>
    <row r="64" spans="1:7" s="2519" customFormat="1">
      <c r="A64" s="911" t="s">
        <v>3530</v>
      </c>
      <c r="B64" s="903"/>
      <c r="C64" s="903"/>
      <c r="D64" s="903"/>
      <c r="E64" s="903"/>
      <c r="F64" s="903"/>
      <c r="G64" s="903"/>
    </row>
    <row r="65" spans="1:8" s="2519" customFormat="1" ht="41.25" customHeight="1">
      <c r="A65" s="3281" t="str">
        <f>'Part IV-A-Uses of Funds'!$C$110</f>
        <v>&lt;&lt; Enter description here; provide detail &amp; justification in tab Part IV-b &gt;&gt;</v>
      </c>
      <c r="B65" s="3282"/>
      <c r="C65" s="3282"/>
      <c r="D65" s="3283"/>
      <c r="F65" s="3278"/>
      <c r="G65" s="903"/>
    </row>
    <row r="66" spans="1:8" s="2519" customFormat="1" ht="41.25" customHeight="1">
      <c r="A66" s="3272"/>
      <c r="B66" s="3273"/>
      <c r="C66" s="3273"/>
      <c r="D66" s="3274"/>
      <c r="E66" s="903"/>
      <c r="F66" s="3279"/>
      <c r="G66" s="903"/>
    </row>
    <row r="67" spans="1:8" s="2519" customFormat="1" ht="3" customHeight="1">
      <c r="A67" s="903"/>
      <c r="B67" s="903"/>
      <c r="C67" s="903"/>
      <c r="D67" s="903"/>
      <c r="E67" s="903"/>
      <c r="F67" s="3279"/>
      <c r="G67" s="903"/>
    </row>
    <row r="68" spans="1:8" s="2519" customFormat="1" ht="10.199999999999999">
      <c r="A68" s="910" t="s">
        <v>3528</v>
      </c>
      <c r="B68" s="909">
        <f>'Part IV-A-Uses of Funds'!$G$110</f>
        <v>0</v>
      </c>
      <c r="C68" s="906"/>
      <c r="D68" s="906"/>
      <c r="E68" s="903"/>
      <c r="F68" s="3279"/>
      <c r="G68" s="903"/>
    </row>
    <row r="69" spans="1:8" s="2519" customFormat="1" ht="3.75" customHeight="1">
      <c r="A69" s="903"/>
      <c r="B69" s="904"/>
      <c r="C69" s="903"/>
      <c r="D69" s="903"/>
      <c r="E69" s="903"/>
      <c r="F69" s="3280"/>
      <c r="G69" s="905"/>
    </row>
    <row r="70" spans="1:8" s="2519" customFormat="1">
      <c r="A70" s="911" t="s">
        <v>1282</v>
      </c>
      <c r="B70" s="903"/>
      <c r="C70" s="903"/>
      <c r="D70" s="903"/>
      <c r="E70" s="903"/>
      <c r="F70" s="903"/>
      <c r="G70" s="903"/>
    </row>
    <row r="71" spans="1:8" s="2519" customFormat="1" ht="41.25" customHeight="1">
      <c r="A71" s="3281" t="str">
        <f>'Part IV-A-Uses of Funds'!$C$125</f>
        <v>Enriched Property Services</v>
      </c>
      <c r="B71" s="3282"/>
      <c r="C71" s="3282"/>
      <c r="D71" s="3283"/>
      <c r="F71" s="3278" t="s">
        <v>7035</v>
      </c>
      <c r="G71" s="903"/>
      <c r="H71" s="3278" t="s">
        <v>7117</v>
      </c>
    </row>
    <row r="72" spans="1:8" s="2519" customFormat="1" ht="78" customHeight="1">
      <c r="A72" s="3272"/>
      <c r="B72" s="3273"/>
      <c r="C72" s="3273"/>
      <c r="D72" s="3274"/>
      <c r="E72" s="903"/>
      <c r="F72" s="3279"/>
      <c r="G72" s="903"/>
      <c r="H72" s="3279"/>
    </row>
    <row r="73" spans="1:8" s="2519" customFormat="1" ht="4.5" customHeight="1">
      <c r="A73" s="903"/>
      <c r="B73" s="903"/>
      <c r="C73" s="903"/>
      <c r="D73" s="903"/>
      <c r="E73" s="903"/>
      <c r="F73" s="3279"/>
      <c r="G73" s="903"/>
      <c r="H73" s="3279"/>
    </row>
    <row r="74" spans="1:8" s="2519" customFormat="1" ht="12.75" customHeight="1">
      <c r="A74" s="910" t="s">
        <v>3528</v>
      </c>
      <c r="B74" s="909">
        <f>'Part IV-A-Uses of Funds'!$G$125</f>
        <v>37248</v>
      </c>
      <c r="C74" s="910" t="s">
        <v>1746</v>
      </c>
      <c r="D74" s="909">
        <f>'Part IV-A-Uses of Funds'!$J$125+'Part IV-A-Uses of Funds'!$M$125+'Part IV-A-Uses of Funds'!$P$125</f>
        <v>0</v>
      </c>
      <c r="E74" s="903"/>
      <c r="F74" s="3279"/>
      <c r="G74" s="903"/>
      <c r="H74" s="3279"/>
    </row>
    <row r="75" spans="1:8" s="2519" customFormat="1" ht="6" customHeight="1">
      <c r="A75" s="903"/>
      <c r="B75" s="904"/>
      <c r="C75" s="903"/>
      <c r="D75" s="903"/>
      <c r="E75" s="903"/>
      <c r="F75" s="3280"/>
      <c r="G75" s="905"/>
      <c r="H75" s="3280"/>
    </row>
    <row r="76" spans="1:8" s="2519" customFormat="1">
      <c r="A76" s="911" t="s">
        <v>3531</v>
      </c>
      <c r="B76" s="904"/>
      <c r="C76" s="903"/>
      <c r="D76" s="903"/>
      <c r="E76" s="903"/>
      <c r="F76" s="903"/>
      <c r="G76" s="905"/>
    </row>
    <row r="77" spans="1:8" s="2519" customFormat="1" ht="41.25" customHeight="1">
      <c r="A77" s="3281" t="str">
        <f>'Part IV-A-Uses of Funds'!$C$129</f>
        <v>&lt;&lt; Enter description here; provide detail &amp; justification in tab Part IV-b &gt;&gt;</v>
      </c>
      <c r="B77" s="3282"/>
      <c r="C77" s="3282"/>
      <c r="D77" s="3283"/>
      <c r="F77" s="3278"/>
      <c r="G77" s="903"/>
      <c r="H77" s="3278"/>
    </row>
    <row r="78" spans="1:8" s="2519" customFormat="1" ht="41.25" customHeight="1">
      <c r="A78" s="3272"/>
      <c r="B78" s="3273"/>
      <c r="C78" s="3273"/>
      <c r="D78" s="3274"/>
      <c r="E78" s="903"/>
      <c r="F78" s="3279"/>
      <c r="G78" s="903"/>
      <c r="H78" s="3279"/>
    </row>
    <row r="79" spans="1:8" s="2519" customFormat="1" ht="4.5" customHeight="1">
      <c r="A79" s="903"/>
      <c r="B79" s="903"/>
      <c r="C79" s="903"/>
      <c r="D79" s="903"/>
      <c r="E79" s="903"/>
      <c r="F79" s="3279"/>
      <c r="G79" s="903"/>
      <c r="H79" s="3279"/>
    </row>
    <row r="80" spans="1:8" s="2519" customFormat="1" ht="12.75" customHeight="1">
      <c r="A80" s="910" t="s">
        <v>3528</v>
      </c>
      <c r="B80" s="909">
        <f>'Part IV-A-Uses of Funds'!$G$129</f>
        <v>0</v>
      </c>
      <c r="C80" s="910" t="s">
        <v>1746</v>
      </c>
      <c r="D80" s="909">
        <f>'Part IV-A-Uses of Funds'!$J$129+'Part IV-A-Uses of Funds'!$M$129+'Part IV-A-Uses of Funds'!$P$129</f>
        <v>0</v>
      </c>
      <c r="E80" s="908"/>
      <c r="F80" s="3279"/>
      <c r="G80" s="903"/>
      <c r="H80" s="3279"/>
    </row>
    <row r="81" spans="4:8" s="2519" customFormat="1" ht="6" customHeight="1">
      <c r="D81" s="2520"/>
      <c r="E81" s="2521"/>
      <c r="F81" s="3280"/>
      <c r="G81" s="905"/>
      <c r="H81" s="3280"/>
    </row>
    <row r="82" spans="4:8" s="2519" customFormat="1" ht="10.199999999999999"/>
    <row r="83" spans="4:8" s="2519" customFormat="1" ht="10.199999999999999"/>
    <row r="84" spans="4:8" s="2519" customFormat="1" ht="10.199999999999999"/>
    <row r="85" spans="4:8" s="2519" customFormat="1" ht="10.199999999999999"/>
    <row r="86" spans="4:8" s="2519" customFormat="1" ht="10.199999999999999"/>
    <row r="87" spans="4:8" s="2519" customFormat="1" ht="10.199999999999999"/>
    <row r="88" spans="4:8" s="2519" customFormat="1" ht="10.199999999999999"/>
    <row r="89" spans="4:8" s="2519" customFormat="1" ht="10.199999999999999"/>
    <row r="90" spans="4:8" s="2519" customFormat="1" ht="10.199999999999999"/>
    <row r="91" spans="4:8" s="2519" customFormat="1" ht="10.199999999999999"/>
    <row r="92" spans="4:8" s="2519" customFormat="1" ht="10.199999999999999"/>
  </sheetData>
  <sheetProtection algorithmName="SHA-512" hashValue="UTITZynO4Y/4tr0HE2/PrxjInybBcblb77PvFppWI048eEYxRyvXWorFW+MmyTqfj/SGSMZ+c3ygIJv1cMS51g==" saltValue="aYDdVQp0NIg0Y3uj3hA4f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87" t="str">
        <f>CONCATENATE("PART FIVE - UTILITY ALLOWANCES","  -  ",'Part I-Project Information'!$O$6," ",'Part I-Project Information'!$F$34,", ",'Part I-Project Information'!F38,", ",'Part I-Project Information'!J39," County")</f>
        <v>PART FIVE - UTILITY ALLOWANCES  -  2020-091 The Pointe at St. Martin, Hartwell, Hart County</v>
      </c>
      <c r="B1" s="3288"/>
      <c r="C1" s="3288"/>
      <c r="D1" s="3288"/>
      <c r="E1" s="3288"/>
      <c r="F1" s="3288"/>
      <c r="G1" s="3288"/>
      <c r="H1" s="3288"/>
      <c r="I1" s="3288"/>
      <c r="J1" s="3288"/>
      <c r="K1" s="3288"/>
      <c r="L1" s="3288"/>
      <c r="M1" s="3288"/>
      <c r="N1" s="10"/>
      <c r="O1" s="10"/>
      <c r="P1" s="10"/>
      <c r="Q1" s="10"/>
      <c r="R1" s="16"/>
      <c r="S1" s="16"/>
      <c r="T1" s="16"/>
    </row>
    <row r="2" spans="1:20" s="8" customFormat="1" ht="7.5" customHeight="1"/>
    <row r="3" spans="1:20" s="8" customFormat="1" ht="12.75" customHeight="1">
      <c r="B3" s="3298" t="str">
        <f>'Part I-Project Information'!$B$6</f>
        <v>May 26, 2020 Version</v>
      </c>
      <c r="C3" s="3298"/>
      <c r="D3" s="3298"/>
      <c r="E3" s="3298"/>
      <c r="F3" s="4" t="s">
        <v>4117</v>
      </c>
      <c r="I3" s="2373"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289" t="s">
        <v>7082</v>
      </c>
      <c r="J7" s="3290"/>
      <c r="K7" s="3290"/>
      <c r="L7" s="3290"/>
      <c r="M7" s="3291"/>
    </row>
    <row r="8" spans="1:20" s="8" customFormat="1" ht="13.35" customHeight="1">
      <c r="A8" s="13"/>
      <c r="F8" s="1" t="s">
        <v>618</v>
      </c>
      <c r="G8" s="1"/>
      <c r="H8" s="33"/>
      <c r="I8" s="3292">
        <v>43831</v>
      </c>
      <c r="J8" s="3293"/>
      <c r="K8" s="6" t="s">
        <v>525</v>
      </c>
      <c r="L8" s="3294" t="s">
        <v>7083</v>
      </c>
      <c r="M8" s="3295"/>
    </row>
    <row r="9" spans="1:20" s="8" customFormat="1" ht="4.5" customHeight="1">
      <c r="A9" s="13"/>
    </row>
    <row r="10" spans="1:20" s="13" customFormat="1">
      <c r="B10" s="245"/>
      <c r="C10" s="245"/>
      <c r="D10" s="245"/>
      <c r="E10" s="245"/>
      <c r="F10" s="3296" t="s">
        <v>592</v>
      </c>
      <c r="G10" s="3296"/>
      <c r="I10" s="3297" t="s">
        <v>196</v>
      </c>
      <c r="J10" s="3297"/>
      <c r="K10" s="3297"/>
      <c r="L10" s="3297"/>
      <c r="M10" s="3297"/>
    </row>
    <row r="11" spans="1:20" s="13" customFormat="1">
      <c r="B11" s="245" t="s">
        <v>778</v>
      </c>
      <c r="D11" s="245" t="s">
        <v>1566</v>
      </c>
      <c r="F11" s="2371" t="s">
        <v>624</v>
      </c>
      <c r="G11" s="2371" t="s">
        <v>1804</v>
      </c>
      <c r="I11" s="246" t="s">
        <v>551</v>
      </c>
      <c r="J11" s="247">
        <v>1</v>
      </c>
      <c r="K11" s="247">
        <v>2</v>
      </c>
      <c r="L11" s="247">
        <v>3</v>
      </c>
      <c r="M11" s="247">
        <v>4</v>
      </c>
    </row>
    <row r="12" spans="1:20" s="8" customFormat="1" ht="12" customHeight="1">
      <c r="B12" s="1539" t="s">
        <v>1806</v>
      </c>
      <c r="C12" s="1540"/>
      <c r="D12" s="3309" t="s">
        <v>7036</v>
      </c>
      <c r="E12" s="3310"/>
      <c r="F12" s="2522" t="s">
        <v>433</v>
      </c>
      <c r="G12" s="2522"/>
      <c r="H12" s="993"/>
      <c r="I12" s="2523"/>
      <c r="J12" s="2523">
        <v>9</v>
      </c>
      <c r="K12" s="2523">
        <v>11</v>
      </c>
      <c r="L12" s="2523">
        <v>16</v>
      </c>
      <c r="M12" s="2523"/>
      <c r="O12" s="3299" t="s">
        <v>3623</v>
      </c>
      <c r="P12" s="3299"/>
    </row>
    <row r="13" spans="1:20" s="8" customFormat="1" ht="12" customHeight="1">
      <c r="B13" s="1541" t="s">
        <v>1564</v>
      </c>
      <c r="C13" s="1542"/>
      <c r="D13" s="3300" t="s">
        <v>1563</v>
      </c>
      <c r="E13" s="3301"/>
      <c r="F13" s="2524" t="s">
        <v>433</v>
      </c>
      <c r="G13" s="2524"/>
      <c r="H13" s="992"/>
      <c r="I13" s="2525"/>
      <c r="J13" s="2525">
        <v>8</v>
      </c>
      <c r="K13" s="2525">
        <v>10</v>
      </c>
      <c r="L13" s="2526">
        <v>12</v>
      </c>
      <c r="M13" s="2526"/>
      <c r="O13" s="3299"/>
      <c r="P13" s="3299"/>
    </row>
    <row r="14" spans="1:20" s="8" customFormat="1" ht="12" customHeight="1">
      <c r="B14" s="1543" t="s">
        <v>1565</v>
      </c>
      <c r="C14" s="1544"/>
      <c r="D14" s="3300" t="s">
        <v>1563</v>
      </c>
      <c r="E14" s="3301"/>
      <c r="F14" s="2524" t="s">
        <v>433</v>
      </c>
      <c r="G14" s="2524"/>
      <c r="H14" s="248"/>
      <c r="I14" s="2525"/>
      <c r="J14" s="2525">
        <v>14</v>
      </c>
      <c r="K14" s="2525">
        <v>19</v>
      </c>
      <c r="L14" s="2526">
        <v>24</v>
      </c>
      <c r="M14" s="2526"/>
      <c r="O14" s="3299"/>
      <c r="P14" s="3299"/>
    </row>
    <row r="15" spans="1:20" s="8" customFormat="1" ht="12" customHeight="1">
      <c r="B15" s="1545" t="s">
        <v>458</v>
      </c>
      <c r="C15" s="1546"/>
      <c r="D15" s="1545" t="s">
        <v>1563</v>
      </c>
      <c r="E15" s="249"/>
      <c r="F15" s="2524" t="s">
        <v>433</v>
      </c>
      <c r="G15" s="2524"/>
      <c r="H15" s="991"/>
      <c r="I15" s="2525"/>
      <c r="J15" s="2525">
        <v>7</v>
      </c>
      <c r="K15" s="2525">
        <v>9</v>
      </c>
      <c r="L15" s="2526">
        <v>12</v>
      </c>
      <c r="M15" s="2526"/>
      <c r="O15" s="3299"/>
      <c r="P15" s="3299"/>
    </row>
    <row r="16" spans="1:20" s="8" customFormat="1" ht="12" customHeight="1">
      <c r="B16" s="1547" t="s">
        <v>3608</v>
      </c>
      <c r="C16" s="1542"/>
      <c r="D16" s="1541" t="s">
        <v>1563</v>
      </c>
      <c r="E16" s="990"/>
      <c r="F16" s="2524"/>
      <c r="G16" s="2524" t="s">
        <v>433</v>
      </c>
      <c r="H16" s="992"/>
      <c r="I16" s="2525"/>
      <c r="J16" s="2525"/>
      <c r="K16" s="2525"/>
      <c r="L16" s="2526"/>
      <c r="M16" s="2526"/>
      <c r="O16" s="3299"/>
      <c r="P16" s="3299"/>
    </row>
    <row r="17" spans="1:19" s="8" customFormat="1" ht="12" customHeight="1">
      <c r="B17" s="1547" t="s">
        <v>3609</v>
      </c>
      <c r="C17" s="1542"/>
      <c r="D17" s="1541" t="s">
        <v>1563</v>
      </c>
      <c r="E17" s="990"/>
      <c r="F17" s="2524"/>
      <c r="G17" s="2524" t="s">
        <v>433</v>
      </c>
      <c r="H17" s="992"/>
      <c r="I17" s="2525"/>
      <c r="J17" s="2525"/>
      <c r="K17" s="2525"/>
      <c r="L17" s="2526"/>
      <c r="M17" s="2526"/>
      <c r="O17" s="3299"/>
      <c r="P17" s="3299"/>
    </row>
    <row r="18" spans="1:19" s="8" customFormat="1" ht="12" customHeight="1">
      <c r="B18" s="1548" t="s">
        <v>3610</v>
      </c>
      <c r="C18" s="1544"/>
      <c r="D18" s="1543" t="s">
        <v>1563</v>
      </c>
      <c r="E18" s="990"/>
      <c r="F18" s="2524" t="s">
        <v>433</v>
      </c>
      <c r="G18" s="2524"/>
      <c r="H18" s="248"/>
      <c r="I18" s="2525"/>
      <c r="J18" s="2525">
        <v>22</v>
      </c>
      <c r="K18" s="2525">
        <v>28</v>
      </c>
      <c r="L18" s="2526">
        <v>34</v>
      </c>
      <c r="M18" s="2526"/>
      <c r="O18" s="3299"/>
      <c r="P18" s="3299"/>
    </row>
    <row r="19" spans="1:19" s="8" customFormat="1" ht="12" customHeight="1">
      <c r="B19" s="1545" t="s">
        <v>1343</v>
      </c>
      <c r="C19" s="1546"/>
      <c r="D19" s="1551" t="s">
        <v>3351</v>
      </c>
      <c r="E19" s="2527" t="s">
        <v>2886</v>
      </c>
      <c r="F19" s="2524" t="s">
        <v>433</v>
      </c>
      <c r="G19" s="2524"/>
      <c r="H19" s="991"/>
      <c r="I19" s="2525"/>
      <c r="J19" s="2525">
        <v>45</v>
      </c>
      <c r="K19" s="2525">
        <v>52</v>
      </c>
      <c r="L19" s="2526">
        <v>65</v>
      </c>
      <c r="M19" s="2526"/>
      <c r="O19" s="3299"/>
      <c r="P19" s="3299"/>
    </row>
    <row r="20" spans="1:19" s="8" customFormat="1" ht="12" customHeight="1">
      <c r="B20" s="1549" t="s">
        <v>1805</v>
      </c>
      <c r="C20" s="1550"/>
      <c r="D20" s="250"/>
      <c r="E20" s="222"/>
      <c r="F20" s="2524"/>
      <c r="G20" s="2524" t="s">
        <v>433</v>
      </c>
      <c r="H20" s="992"/>
      <c r="I20" s="2525"/>
      <c r="J20" s="2525"/>
      <c r="K20" s="2525"/>
      <c r="L20" s="2526"/>
      <c r="M20" s="2526"/>
      <c r="O20" s="3299"/>
      <c r="P20" s="3299"/>
    </row>
    <row r="21" spans="1:19" s="8" customFormat="1" ht="12" customHeight="1">
      <c r="B21" s="1549" t="s">
        <v>723</v>
      </c>
      <c r="C21" s="3284"/>
      <c r="D21" s="3285"/>
      <c r="E21" s="3286"/>
      <c r="F21" s="2528"/>
      <c r="G21" s="2528"/>
      <c r="H21" s="994"/>
      <c r="I21" s="2529"/>
      <c r="J21" s="2529"/>
      <c r="K21" s="2529"/>
      <c r="L21" s="2530"/>
      <c r="M21" s="2530"/>
      <c r="O21" s="3299"/>
      <c r="P21" s="329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302"/>
      <c r="J24" s="3290"/>
      <c r="K24" s="3290"/>
      <c r="L24" s="3290"/>
      <c r="M24" s="3291"/>
    </row>
    <row r="25" spans="1:19" s="8" customFormat="1" ht="13.35" customHeight="1">
      <c r="A25" s="13"/>
      <c r="B25" s="13"/>
      <c r="F25" s="1" t="s">
        <v>618</v>
      </c>
      <c r="G25" s="1"/>
      <c r="H25" s="33"/>
      <c r="I25" s="3292"/>
      <c r="J25" s="3293"/>
      <c r="K25" s="6" t="s">
        <v>525</v>
      </c>
      <c r="L25" s="3294"/>
      <c r="M25" s="3295"/>
    </row>
    <row r="26" spans="1:19" s="8" customFormat="1" ht="4.5" customHeight="1">
      <c r="A26" s="13"/>
    </row>
    <row r="27" spans="1:19" s="13" customFormat="1">
      <c r="B27" s="245"/>
      <c r="C27" s="245"/>
      <c r="D27" s="245"/>
      <c r="E27" s="245"/>
      <c r="F27" s="3296" t="s">
        <v>592</v>
      </c>
      <c r="G27" s="3296"/>
      <c r="I27" s="3297" t="s">
        <v>196</v>
      </c>
      <c r="J27" s="3297"/>
      <c r="K27" s="3297"/>
      <c r="L27" s="3297"/>
      <c r="M27" s="3297"/>
    </row>
    <row r="28" spans="1:19" s="13" customFormat="1">
      <c r="B28" s="245" t="s">
        <v>778</v>
      </c>
      <c r="D28" s="245" t="s">
        <v>1566</v>
      </c>
      <c r="F28" s="2371" t="s">
        <v>624</v>
      </c>
      <c r="G28" s="2371" t="s">
        <v>1804</v>
      </c>
      <c r="I28" s="246" t="s">
        <v>551</v>
      </c>
      <c r="J28" s="247">
        <v>1</v>
      </c>
      <c r="K28" s="247">
        <v>2</v>
      </c>
      <c r="L28" s="247">
        <v>3</v>
      </c>
      <c r="M28" s="247">
        <v>4</v>
      </c>
    </row>
    <row r="29" spans="1:19" s="8" customFormat="1" ht="12" customHeight="1">
      <c r="B29" s="1539" t="s">
        <v>1806</v>
      </c>
      <c r="C29" s="1540"/>
      <c r="D29" s="3309" t="s">
        <v>1774</v>
      </c>
      <c r="E29" s="3310"/>
      <c r="F29" s="2522"/>
      <c r="G29" s="2522"/>
      <c r="H29" s="993"/>
      <c r="I29" s="2523"/>
      <c r="J29" s="2523"/>
      <c r="K29" s="2523"/>
      <c r="L29" s="2523"/>
      <c r="M29" s="2523"/>
      <c r="O29" s="3299" t="s">
        <v>3623</v>
      </c>
      <c r="P29" s="3299"/>
    </row>
    <row r="30" spans="1:19" s="8" customFormat="1" ht="12" customHeight="1">
      <c r="B30" s="1541" t="s">
        <v>1564</v>
      </c>
      <c r="C30" s="1542"/>
      <c r="D30" s="3300" t="s">
        <v>1774</v>
      </c>
      <c r="E30" s="3301"/>
      <c r="F30" s="2524"/>
      <c r="G30" s="2524"/>
      <c r="H30" s="992"/>
      <c r="I30" s="2525"/>
      <c r="J30" s="2525"/>
      <c r="K30" s="2525"/>
      <c r="L30" s="2526"/>
      <c r="M30" s="2526"/>
      <c r="O30" s="3299"/>
      <c r="P30" s="3299"/>
    </row>
    <row r="31" spans="1:19" s="8" customFormat="1" ht="12" customHeight="1">
      <c r="B31" s="1543" t="s">
        <v>1565</v>
      </c>
      <c r="C31" s="1544"/>
      <c r="D31" s="3300" t="s">
        <v>1774</v>
      </c>
      <c r="E31" s="3301"/>
      <c r="F31" s="2524"/>
      <c r="G31" s="2524"/>
      <c r="H31" s="248"/>
      <c r="I31" s="2525"/>
      <c r="J31" s="2525"/>
      <c r="K31" s="2525"/>
      <c r="L31" s="2526"/>
      <c r="M31" s="2526"/>
      <c r="O31" s="3299"/>
      <c r="P31" s="3299"/>
    </row>
    <row r="32" spans="1:19" s="8" customFormat="1" ht="12" customHeight="1">
      <c r="B32" s="1545" t="s">
        <v>458</v>
      </c>
      <c r="C32" s="1546"/>
      <c r="D32" s="1545" t="s">
        <v>1563</v>
      </c>
      <c r="E32" s="249"/>
      <c r="F32" s="2524"/>
      <c r="G32" s="2524"/>
      <c r="H32" s="991"/>
      <c r="I32" s="2525"/>
      <c r="J32" s="2525"/>
      <c r="K32" s="2525"/>
      <c r="L32" s="2526"/>
      <c r="M32" s="2526"/>
      <c r="O32" s="3299"/>
      <c r="P32" s="3299"/>
    </row>
    <row r="33" spans="1:19" s="8" customFormat="1" ht="12" customHeight="1">
      <c r="B33" s="1547" t="s">
        <v>3608</v>
      </c>
      <c r="C33" s="1542"/>
      <c r="D33" s="1541" t="s">
        <v>1563</v>
      </c>
      <c r="E33" s="990"/>
      <c r="F33" s="2524"/>
      <c r="G33" s="2524"/>
      <c r="H33" s="992"/>
      <c r="I33" s="2525"/>
      <c r="J33" s="2525"/>
      <c r="K33" s="2525"/>
      <c r="L33" s="2526"/>
      <c r="M33" s="2526"/>
      <c r="O33" s="3299"/>
      <c r="P33" s="3299"/>
    </row>
    <row r="34" spans="1:19" s="8" customFormat="1" ht="12" customHeight="1">
      <c r="B34" s="1547" t="s">
        <v>3609</v>
      </c>
      <c r="C34" s="1542"/>
      <c r="D34" s="1541" t="s">
        <v>1563</v>
      </c>
      <c r="E34" s="990"/>
      <c r="F34" s="2524"/>
      <c r="G34" s="2524"/>
      <c r="H34" s="992"/>
      <c r="I34" s="2525"/>
      <c r="J34" s="2525"/>
      <c r="K34" s="2525"/>
      <c r="L34" s="2526"/>
      <c r="M34" s="2526"/>
      <c r="O34" s="3299"/>
      <c r="P34" s="3299"/>
    </row>
    <row r="35" spans="1:19" s="8" customFormat="1" ht="12" customHeight="1">
      <c r="B35" s="1548" t="s">
        <v>3610</v>
      </c>
      <c r="C35" s="1544"/>
      <c r="D35" s="1543" t="s">
        <v>1563</v>
      </c>
      <c r="E35" s="990"/>
      <c r="F35" s="2524"/>
      <c r="G35" s="2524"/>
      <c r="H35" s="248"/>
      <c r="I35" s="2525"/>
      <c r="J35" s="2525"/>
      <c r="K35" s="2525"/>
      <c r="L35" s="2526"/>
      <c r="M35" s="2526"/>
      <c r="O35" s="3299"/>
      <c r="P35" s="3299"/>
    </row>
    <row r="36" spans="1:19" s="8" customFormat="1" ht="12" customHeight="1">
      <c r="B36" s="1545" t="s">
        <v>1343</v>
      </c>
      <c r="C36" s="1546"/>
      <c r="D36" s="1551" t="s">
        <v>3351</v>
      </c>
      <c r="E36" s="2527" t="s">
        <v>197</v>
      </c>
      <c r="F36" s="2524"/>
      <c r="G36" s="2524"/>
      <c r="H36" s="991"/>
      <c r="I36" s="2525"/>
      <c r="J36" s="2525"/>
      <c r="K36" s="2525"/>
      <c r="L36" s="2526"/>
      <c r="M36" s="2526"/>
      <c r="O36" s="3299"/>
      <c r="P36" s="3299"/>
    </row>
    <row r="37" spans="1:19" s="8" customFormat="1" ht="12" customHeight="1">
      <c r="B37" s="1549" t="s">
        <v>1805</v>
      </c>
      <c r="C37" s="1550"/>
      <c r="D37" s="250"/>
      <c r="E37" s="222"/>
      <c r="F37" s="2524"/>
      <c r="G37" s="2524"/>
      <c r="H37" s="992"/>
      <c r="I37" s="2525"/>
      <c r="J37" s="2525"/>
      <c r="K37" s="2525"/>
      <c r="L37" s="2526"/>
      <c r="M37" s="2526"/>
      <c r="O37" s="3299"/>
      <c r="P37" s="3299"/>
    </row>
    <row r="38" spans="1:19" s="8" customFormat="1" ht="12" customHeight="1">
      <c r="B38" s="1549" t="s">
        <v>723</v>
      </c>
      <c r="C38" s="3284"/>
      <c r="D38" s="3285"/>
      <c r="E38" s="3286"/>
      <c r="F38" s="2528"/>
      <c r="G38" s="2528"/>
      <c r="H38" s="994"/>
      <c r="I38" s="2529"/>
      <c r="J38" s="2529"/>
      <c r="K38" s="2529"/>
      <c r="L38" s="2530"/>
      <c r="M38" s="2530"/>
      <c r="O38" s="3299"/>
      <c r="P38" s="329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3352</v>
      </c>
      <c r="D41" s="27"/>
      <c r="E41" s="27"/>
      <c r="F41" s="80"/>
      <c r="G41" s="80"/>
      <c r="I41" s="2371"/>
      <c r="J41" s="2371"/>
      <c r="K41" s="2371"/>
      <c r="L41" s="2371"/>
      <c r="M41" s="2371"/>
    </row>
    <row r="42" spans="1:19" s="8" customFormat="1" ht="12" customHeight="1">
      <c r="A42" s="13"/>
      <c r="B42" s="13" t="s">
        <v>555</v>
      </c>
      <c r="M42" s="27"/>
      <c r="N42" s="27"/>
      <c r="O42" s="27"/>
      <c r="P42" s="27"/>
      <c r="Q42" s="27"/>
      <c r="R42" s="27"/>
      <c r="S42" s="27"/>
    </row>
    <row r="43" spans="1:19" s="8" customFormat="1" ht="24.75" customHeight="1">
      <c r="B43" s="3303" t="s">
        <v>7037</v>
      </c>
      <c r="C43" s="3304"/>
      <c r="D43" s="3304"/>
      <c r="E43" s="3304"/>
      <c r="F43" s="3304"/>
      <c r="G43" s="3304"/>
      <c r="H43" s="3304"/>
      <c r="I43" s="3304"/>
      <c r="J43" s="3304"/>
      <c r="K43" s="3304"/>
      <c r="L43" s="3304"/>
      <c r="M43" s="3305"/>
      <c r="N43" s="27"/>
      <c r="O43" s="2679" t="s">
        <v>2614</v>
      </c>
      <c r="P43" s="2679"/>
      <c r="Q43" s="2679"/>
      <c r="R43" s="2679"/>
      <c r="S43" s="2679"/>
    </row>
    <row r="44" spans="1:19" s="8" customFormat="1" ht="3" customHeight="1">
      <c r="M44" s="27"/>
      <c r="N44" s="27"/>
      <c r="O44" s="2679"/>
      <c r="P44" s="2679"/>
      <c r="Q44" s="2679"/>
      <c r="R44" s="2679"/>
      <c r="S44" s="2679"/>
    </row>
    <row r="45" spans="1:19" s="8" customFormat="1" ht="12" customHeight="1">
      <c r="A45" s="13"/>
      <c r="B45" s="13" t="s">
        <v>1799</v>
      </c>
      <c r="M45" s="27"/>
      <c r="N45" s="27"/>
      <c r="O45" s="2679"/>
      <c r="P45" s="2679"/>
      <c r="Q45" s="2679"/>
      <c r="R45" s="2679"/>
      <c r="S45" s="2679"/>
    </row>
    <row r="46" spans="1:19" s="8" customFormat="1" ht="24.75" customHeight="1">
      <c r="B46" s="3306"/>
      <c r="C46" s="3307"/>
      <c r="D46" s="3307"/>
      <c r="E46" s="3307"/>
      <c r="F46" s="3307"/>
      <c r="G46" s="3307"/>
      <c r="H46" s="3307"/>
      <c r="I46" s="3307"/>
      <c r="J46" s="3307"/>
      <c r="K46" s="3307"/>
      <c r="L46" s="3307"/>
      <c r="M46" s="3308"/>
      <c r="N46" s="27"/>
      <c r="O46" s="2679"/>
      <c r="P46" s="2679"/>
      <c r="Q46" s="2679"/>
      <c r="R46" s="2679"/>
      <c r="S46" s="2679"/>
    </row>
  </sheetData>
  <sheetProtection algorithmName="SHA-512" hashValue="DH0p8CQS7Fa+lIFmqP34eHvUfb7XhEzmJSkfHL0uyZ/zm9BXFt6bPfu9FBc44Qyx2efwawmm9iDjveaErXAJJw==" saltValue="Ono+1ual/jpiqrQamUDr2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2020-10-08T15:15:37Z</dcterms:modified>
</cp:coreProperties>
</file>