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12C2E1F7-E3B1-4DA8-9B73-74D6200A8807}" xr6:coauthVersionLast="31" xr6:coauthVersionMax="31" xr10:uidLastSave="{00000000-0000-0000-0000-000000000000}"/>
  <bookViews>
    <workbookView xWindow="5985" yWindow="0" windowWidth="25605" windowHeight="16065" tabRatio="907"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F165" i="75" l="1"/>
  <c r="F58" i="74"/>
  <c r="E58" i="74"/>
  <c r="D58" i="74"/>
  <c r="C58" i="74"/>
  <c r="B58" i="74"/>
  <c r="K28" i="74"/>
  <c r="J28" i="74"/>
  <c r="I28" i="74"/>
  <c r="H28" i="74"/>
  <c r="G28" i="74"/>
  <c r="F28" i="74"/>
  <c r="E28" i="74"/>
  <c r="D28" i="74"/>
  <c r="C28" i="74"/>
  <c r="G5" i="74"/>
  <c r="F168" i="75"/>
  <c r="F164" i="75"/>
  <c r="J221" i="72"/>
  <c r="J13" i="78"/>
  <c r="N37" i="68"/>
  <c r="P167" i="75"/>
  <c r="GP10" i="75"/>
  <c r="GP11" i="75"/>
  <c r="GP12" i="75"/>
  <c r="GP18" i="75"/>
  <c r="GP19" i="75"/>
  <c r="GP24" i="75"/>
  <c r="GP25" i="75"/>
  <c r="GP26" i="75"/>
  <c r="GQ10" i="75"/>
  <c r="GQ11" i="75"/>
  <c r="GQ12" i="75"/>
  <c r="GQ18" i="75"/>
  <c r="GQ19" i="75"/>
  <c r="GQ24" i="75"/>
  <c r="GQ25" i="75"/>
  <c r="GQ26" i="75"/>
  <c r="GR10" i="75"/>
  <c r="GR11" i="75"/>
  <c r="GR12" i="75"/>
  <c r="GR18" i="75"/>
  <c r="GR19" i="75"/>
  <c r="GR24" i="75"/>
  <c r="GR25" i="75"/>
  <c r="GR26" i="75"/>
  <c r="GS10" i="75"/>
  <c r="GS11" i="75"/>
  <c r="GS48" i="75" s="1"/>
  <c r="GS12" i="75"/>
  <c r="GS18" i="75"/>
  <c r="GS19" i="75"/>
  <c r="GS24" i="75"/>
  <c r="GS25" i="75"/>
  <c r="GS26" i="75"/>
  <c r="GT10" i="75"/>
  <c r="GT11" i="75"/>
  <c r="GT12" i="75"/>
  <c r="GT18" i="75"/>
  <c r="GT19" i="75"/>
  <c r="GT24" i="75"/>
  <c r="GT25" i="75"/>
  <c r="GT26" i="75"/>
  <c r="GU10" i="75"/>
  <c r="GU11" i="75"/>
  <c r="GU12" i="75"/>
  <c r="GU18" i="75"/>
  <c r="GU19" i="75"/>
  <c r="GU24" i="75"/>
  <c r="GU25" i="75"/>
  <c r="GU26" i="75"/>
  <c r="GV10" i="75"/>
  <c r="GV11" i="75"/>
  <c r="GV48" i="75" s="1"/>
  <c r="GV12" i="75"/>
  <c r="GV18" i="75"/>
  <c r="GV19" i="75"/>
  <c r="GV24" i="75"/>
  <c r="GV25" i="75"/>
  <c r="GV26" i="75"/>
  <c r="GW10" i="75"/>
  <c r="GW11" i="75"/>
  <c r="GW12" i="75"/>
  <c r="GW18" i="75"/>
  <c r="GW19" i="75"/>
  <c r="GW24" i="75"/>
  <c r="GW25" i="75"/>
  <c r="GW26" i="75"/>
  <c r="GX10" i="75"/>
  <c r="GX11" i="75"/>
  <c r="GX48" i="75" s="1"/>
  <c r="GX12" i="75"/>
  <c r="GX18" i="75"/>
  <c r="GX19" i="75"/>
  <c r="GX24" i="75"/>
  <c r="GX25" i="75"/>
  <c r="GX26" i="75"/>
  <c r="GY10" i="75"/>
  <c r="GY11" i="75"/>
  <c r="GY48" i="75" s="1"/>
  <c r="GY12" i="75"/>
  <c r="GY18" i="75"/>
  <c r="GY19" i="75"/>
  <c r="GY24" i="75"/>
  <c r="GY25" i="75"/>
  <c r="GY26" i="75"/>
  <c r="GZ10" i="75"/>
  <c r="GZ11" i="75"/>
  <c r="GZ48" i="75" s="1"/>
  <c r="J89" i="75" s="1"/>
  <c r="GZ12" i="75"/>
  <c r="GZ18" i="75"/>
  <c r="GZ19" i="75"/>
  <c r="GZ24" i="75"/>
  <c r="GZ25" i="75"/>
  <c r="GZ26" i="75"/>
  <c r="HA10" i="75"/>
  <c r="HA11" i="75"/>
  <c r="HA12" i="75"/>
  <c r="HA18" i="75"/>
  <c r="HA19" i="75"/>
  <c r="HA24" i="75"/>
  <c r="HA25" i="75"/>
  <c r="HA26" i="75"/>
  <c r="HB10" i="75"/>
  <c r="HB11" i="75"/>
  <c r="HB12" i="75"/>
  <c r="HB18" i="75"/>
  <c r="HB19" i="75"/>
  <c r="HB24" i="75"/>
  <c r="HB25" i="75"/>
  <c r="HB26" i="75"/>
  <c r="HC10" i="75"/>
  <c r="HC11" i="75"/>
  <c r="HC48" i="75" s="1"/>
  <c r="M89" i="75" s="1"/>
  <c r="HC12" i="75"/>
  <c r="HC18" i="75"/>
  <c r="HC19" i="75"/>
  <c r="HC24" i="75"/>
  <c r="HC25" i="75"/>
  <c r="HC26" i="75"/>
  <c r="HD10" i="75"/>
  <c r="HD11" i="75"/>
  <c r="HD12" i="75"/>
  <c r="HD18" i="75"/>
  <c r="HD19" i="75"/>
  <c r="HD24" i="75"/>
  <c r="HD25" i="75"/>
  <c r="HD26" i="75"/>
  <c r="HE10" i="75"/>
  <c r="HE11" i="75"/>
  <c r="HE12" i="75"/>
  <c r="HE18" i="75"/>
  <c r="HE19" i="75"/>
  <c r="HE24" i="75"/>
  <c r="HE25" i="75"/>
  <c r="HE26" i="75"/>
  <c r="HF10" i="75"/>
  <c r="HF11" i="75"/>
  <c r="HF48" i="75" s="1"/>
  <c r="HF12" i="75"/>
  <c r="HF18" i="75"/>
  <c r="HF19" i="75"/>
  <c r="HF24" i="75"/>
  <c r="HF25" i="75"/>
  <c r="HF26" i="75"/>
  <c r="HG10" i="75"/>
  <c r="HG11" i="75"/>
  <c r="HG12" i="75"/>
  <c r="HG18" i="75"/>
  <c r="HG19" i="75"/>
  <c r="HG24" i="75"/>
  <c r="HG25" i="75"/>
  <c r="HG26" i="75"/>
  <c r="HH10" i="75"/>
  <c r="HH11" i="75"/>
  <c r="HH12" i="75"/>
  <c r="HH18" i="75"/>
  <c r="HH19" i="75"/>
  <c r="HH24" i="75"/>
  <c r="HH25" i="75"/>
  <c r="HH26" i="75"/>
  <c r="HI10" i="75"/>
  <c r="HI11" i="75"/>
  <c r="HI12" i="75"/>
  <c r="HI18" i="75"/>
  <c r="HI19" i="75"/>
  <c r="HI24" i="75"/>
  <c r="HI25" i="75"/>
  <c r="HI26" i="75"/>
  <c r="HJ10" i="75"/>
  <c r="HJ11" i="75"/>
  <c r="HJ12" i="75"/>
  <c r="HJ18" i="75"/>
  <c r="HJ19" i="75"/>
  <c r="HJ24" i="75"/>
  <c r="HJ25" i="75"/>
  <c r="HJ26" i="75"/>
  <c r="HK10" i="75"/>
  <c r="HK11" i="75"/>
  <c r="HK48" i="75" s="1"/>
  <c r="K91" i="75" s="1"/>
  <c r="K108" i="75" s="1"/>
  <c r="HK12" i="75"/>
  <c r="HK18" i="75"/>
  <c r="HK19" i="75"/>
  <c r="HK24" i="75"/>
  <c r="HK25" i="75"/>
  <c r="HK26" i="75"/>
  <c r="HL10" i="75"/>
  <c r="HL11" i="75"/>
  <c r="HL12" i="75"/>
  <c r="HL18" i="75"/>
  <c r="HL19" i="75"/>
  <c r="HL24" i="75"/>
  <c r="HL25" i="75"/>
  <c r="HL26" i="75"/>
  <c r="HM10" i="75"/>
  <c r="HM11" i="75"/>
  <c r="HM48" i="75" s="1"/>
  <c r="HM12" i="75"/>
  <c r="HM18" i="75"/>
  <c r="HM19" i="75"/>
  <c r="HM24" i="75"/>
  <c r="HM25" i="75"/>
  <c r="HM26" i="75"/>
  <c r="HN10" i="75"/>
  <c r="HN11" i="75"/>
  <c r="HN12" i="75"/>
  <c r="HN18" i="75"/>
  <c r="HN19" i="75"/>
  <c r="HN24" i="75"/>
  <c r="HN25" i="75"/>
  <c r="HN26" i="75"/>
  <c r="HO10" i="75"/>
  <c r="HO11" i="75"/>
  <c r="HO12" i="75"/>
  <c r="HO18" i="75"/>
  <c r="HO19" i="75"/>
  <c r="HO24" i="75"/>
  <c r="HO25" i="75"/>
  <c r="HO26" i="75"/>
  <c r="HP10" i="75"/>
  <c r="HP11" i="75"/>
  <c r="HP12" i="75"/>
  <c r="HP18" i="75"/>
  <c r="HP19" i="75"/>
  <c r="HP24" i="75"/>
  <c r="HP25" i="75"/>
  <c r="HP26" i="75"/>
  <c r="HQ10" i="75"/>
  <c r="HQ11" i="75"/>
  <c r="HQ12" i="75"/>
  <c r="HQ18" i="75"/>
  <c r="HQ19" i="75"/>
  <c r="HQ24" i="75"/>
  <c r="HQ25" i="75"/>
  <c r="HQ26" i="75"/>
  <c r="HR10" i="75"/>
  <c r="HR11" i="75"/>
  <c r="HR12" i="75"/>
  <c r="HR18" i="75"/>
  <c r="HR19" i="75"/>
  <c r="HR24" i="75"/>
  <c r="HR25" i="75"/>
  <c r="HR26" i="75"/>
  <c r="HS10" i="75"/>
  <c r="HS11" i="75"/>
  <c r="HS12" i="75"/>
  <c r="HS18" i="75"/>
  <c r="HS19" i="75"/>
  <c r="HS24" i="75"/>
  <c r="HS25" i="75"/>
  <c r="HS26" i="75"/>
  <c r="HT10" i="75"/>
  <c r="HT11" i="75"/>
  <c r="HT48" i="75" s="1"/>
  <c r="J93" i="75" s="1"/>
  <c r="HT12" i="75"/>
  <c r="HT18" i="75"/>
  <c r="HT19" i="75"/>
  <c r="HT24" i="75"/>
  <c r="HT25" i="75"/>
  <c r="HT26" i="75"/>
  <c r="HU10" i="75"/>
  <c r="HU11" i="75"/>
  <c r="HU12" i="75"/>
  <c r="HU18" i="75"/>
  <c r="HU19" i="75"/>
  <c r="HU24" i="75"/>
  <c r="HU25" i="75"/>
  <c r="HU26" i="75"/>
  <c r="HV10" i="75"/>
  <c r="HV11" i="75"/>
  <c r="HV12" i="75"/>
  <c r="HV18" i="75"/>
  <c r="HV19" i="75"/>
  <c r="HV24" i="75"/>
  <c r="HV25" i="75"/>
  <c r="HV26" i="75"/>
  <c r="HW10" i="75"/>
  <c r="HW11" i="75"/>
  <c r="HW12" i="75"/>
  <c r="HW18" i="75"/>
  <c r="HW19" i="75"/>
  <c r="HW24" i="75"/>
  <c r="HW25" i="75"/>
  <c r="HW26" i="75"/>
  <c r="HX10" i="75"/>
  <c r="HX11" i="75"/>
  <c r="HX48" i="75" s="1"/>
  <c r="N93" i="75" s="1"/>
  <c r="HX12" i="75"/>
  <c r="HX18" i="75"/>
  <c r="HX19" i="75"/>
  <c r="HX24" i="75"/>
  <c r="HX25" i="75"/>
  <c r="HX26" i="75"/>
  <c r="HY10" i="75"/>
  <c r="HY11" i="75"/>
  <c r="HY12" i="75"/>
  <c r="HY18" i="75"/>
  <c r="HY19" i="75"/>
  <c r="HY24" i="75"/>
  <c r="HY25" i="75"/>
  <c r="HY26" i="75"/>
  <c r="HZ10" i="75"/>
  <c r="HZ11" i="75"/>
  <c r="HZ12" i="75"/>
  <c r="HZ18" i="75"/>
  <c r="HZ19" i="75"/>
  <c r="HZ24" i="75"/>
  <c r="HZ25" i="75"/>
  <c r="HZ26" i="75"/>
  <c r="IA10" i="75"/>
  <c r="IA11" i="75"/>
  <c r="IA12" i="75"/>
  <c r="IA18" i="75"/>
  <c r="IA19" i="75"/>
  <c r="IA24" i="75"/>
  <c r="IA25" i="75"/>
  <c r="IA26" i="75"/>
  <c r="IB10" i="75"/>
  <c r="IB11" i="75"/>
  <c r="IB48" i="75" s="1"/>
  <c r="IB12" i="75"/>
  <c r="IB18" i="75"/>
  <c r="IB19" i="75"/>
  <c r="IB24" i="75"/>
  <c r="IB25" i="75"/>
  <c r="IB26" i="75"/>
  <c r="IC10" i="75"/>
  <c r="IC11" i="75"/>
  <c r="IC12" i="75"/>
  <c r="IC18" i="75"/>
  <c r="IC19" i="75"/>
  <c r="IC24" i="75"/>
  <c r="IC25" i="75"/>
  <c r="IC26" i="75"/>
  <c r="GF10" i="75"/>
  <c r="GF11" i="75"/>
  <c r="GF12" i="75"/>
  <c r="GF18" i="75"/>
  <c r="GF19" i="75"/>
  <c r="GF24" i="75"/>
  <c r="GF25" i="75"/>
  <c r="GF26" i="75"/>
  <c r="GG10" i="75"/>
  <c r="GG11" i="75"/>
  <c r="GG48" i="75" s="1"/>
  <c r="GG12" i="75"/>
  <c r="GG18" i="75"/>
  <c r="GG19" i="75"/>
  <c r="GG24" i="75"/>
  <c r="GG25" i="75"/>
  <c r="GG26" i="75"/>
  <c r="GH10" i="75"/>
  <c r="GH11" i="75"/>
  <c r="GH48" i="75" s="1"/>
  <c r="L97" i="75" s="1"/>
  <c r="GH12" i="75"/>
  <c r="GH18" i="75"/>
  <c r="GH19" i="75"/>
  <c r="GH24" i="75"/>
  <c r="GH25" i="75"/>
  <c r="GH26" i="75"/>
  <c r="GI10" i="75"/>
  <c r="GI11" i="75"/>
  <c r="GI48" i="75" s="1"/>
  <c r="GI12" i="75"/>
  <c r="GI18" i="75"/>
  <c r="GI19" i="75"/>
  <c r="GI24" i="75"/>
  <c r="GI25" i="75"/>
  <c r="GI26" i="75"/>
  <c r="GJ10" i="75"/>
  <c r="GJ11" i="75"/>
  <c r="GJ12" i="75"/>
  <c r="GJ18" i="75"/>
  <c r="GJ19" i="75"/>
  <c r="GJ24" i="75"/>
  <c r="GJ25" i="75"/>
  <c r="GJ26" i="75"/>
  <c r="FL10" i="75"/>
  <c r="FL11" i="75"/>
  <c r="FL12" i="75"/>
  <c r="FL18" i="75"/>
  <c r="FL19" i="75"/>
  <c r="FL24" i="75"/>
  <c r="FL25" i="75"/>
  <c r="FL26" i="75"/>
  <c r="FM10" i="75"/>
  <c r="FM11" i="75"/>
  <c r="FM12" i="75"/>
  <c r="FM18" i="75"/>
  <c r="FM19" i="75"/>
  <c r="FM24" i="75"/>
  <c r="FM25" i="75"/>
  <c r="FM26" i="75"/>
  <c r="FN10" i="75"/>
  <c r="FN11" i="75"/>
  <c r="FN12" i="75"/>
  <c r="FN18" i="75"/>
  <c r="FN19" i="75"/>
  <c r="FN24" i="75"/>
  <c r="FN25" i="75"/>
  <c r="FN26" i="75"/>
  <c r="FO10" i="75"/>
  <c r="FO11" i="75"/>
  <c r="FO12" i="75"/>
  <c r="FO18" i="75"/>
  <c r="FO19" i="75"/>
  <c r="FO24" i="75"/>
  <c r="FO25" i="75"/>
  <c r="FO26" i="75"/>
  <c r="FP10" i="75"/>
  <c r="FP11" i="75"/>
  <c r="FP48" i="75" s="1"/>
  <c r="N101" i="75" s="1"/>
  <c r="FP12" i="75"/>
  <c r="FP18" i="75"/>
  <c r="FP19" i="75"/>
  <c r="FP24" i="75"/>
  <c r="FP25" i="75"/>
  <c r="FP26" i="75"/>
  <c r="FB10" i="75"/>
  <c r="FB11" i="75"/>
  <c r="FB48" i="75" s="1"/>
  <c r="FB12" i="75"/>
  <c r="FB18" i="75"/>
  <c r="FB19" i="75"/>
  <c r="FB24" i="75"/>
  <c r="FB25" i="75"/>
  <c r="FB26" i="75"/>
  <c r="FC10" i="75"/>
  <c r="FC11" i="75"/>
  <c r="FC12" i="75"/>
  <c r="FC18" i="75"/>
  <c r="FC19" i="75"/>
  <c r="FC24" i="75"/>
  <c r="FC25" i="75"/>
  <c r="FC26" i="75"/>
  <c r="FD10" i="75"/>
  <c r="FD11" i="75"/>
  <c r="FD48" i="75" s="1"/>
  <c r="FD12" i="75"/>
  <c r="FD18" i="75"/>
  <c r="FD19" i="75"/>
  <c r="FD24" i="75"/>
  <c r="FD25" i="75"/>
  <c r="FD26" i="75"/>
  <c r="FE10" i="75"/>
  <c r="FE11" i="75"/>
  <c r="FE48" i="75" s="1"/>
  <c r="FE12" i="75"/>
  <c r="FE18" i="75"/>
  <c r="FE19" i="75"/>
  <c r="FE24" i="75"/>
  <c r="FE25" i="75"/>
  <c r="FE26" i="75"/>
  <c r="FF10" i="75"/>
  <c r="FF11" i="75"/>
  <c r="FF48" i="75" s="1"/>
  <c r="FF12" i="75"/>
  <c r="FF18" i="75"/>
  <c r="FF19" i="75"/>
  <c r="FF24" i="75"/>
  <c r="FF25" i="75"/>
  <c r="FF26" i="75"/>
  <c r="FG10" i="75"/>
  <c r="FG11" i="75"/>
  <c r="FG48" i="75" s="1"/>
  <c r="J96" i="75" s="1"/>
  <c r="FG12" i="75"/>
  <c r="FG18" i="75"/>
  <c r="FG19" i="75"/>
  <c r="FG24" i="75"/>
  <c r="FG25" i="75"/>
  <c r="FG26" i="75"/>
  <c r="FH10" i="75"/>
  <c r="FH11" i="75"/>
  <c r="FH48" i="75" s="1"/>
  <c r="K96" i="75" s="1"/>
  <c r="FH12" i="75"/>
  <c r="FH18" i="75"/>
  <c r="FH19" i="75"/>
  <c r="FH24" i="75"/>
  <c r="FH25" i="75"/>
  <c r="FH26" i="75"/>
  <c r="FI10" i="75"/>
  <c r="FI11" i="75"/>
  <c r="FI12" i="75"/>
  <c r="FI18" i="75"/>
  <c r="FI19" i="75"/>
  <c r="FI24" i="75"/>
  <c r="FI25" i="75"/>
  <c r="FI26" i="75"/>
  <c r="FJ10" i="75"/>
  <c r="FJ11" i="75"/>
  <c r="FJ12" i="75"/>
  <c r="FJ18" i="75"/>
  <c r="FJ19" i="75"/>
  <c r="FJ24" i="75"/>
  <c r="FJ25" i="75"/>
  <c r="FJ26" i="75"/>
  <c r="FK10" i="75"/>
  <c r="FK11" i="75"/>
  <c r="FK12" i="75"/>
  <c r="FK18" i="75"/>
  <c r="FK19" i="75"/>
  <c r="FK24" i="75"/>
  <c r="FK25" i="75"/>
  <c r="FK26" i="75"/>
  <c r="FV10" i="75"/>
  <c r="FV11" i="75"/>
  <c r="FV12" i="75"/>
  <c r="FV18" i="75"/>
  <c r="FV19" i="75"/>
  <c r="FV24" i="75"/>
  <c r="FV25" i="75"/>
  <c r="FV26" i="75"/>
  <c r="FW10" i="75"/>
  <c r="FW11" i="75"/>
  <c r="FW12" i="75"/>
  <c r="FW18" i="75"/>
  <c r="FW19" i="75"/>
  <c r="FW24" i="75"/>
  <c r="FW25" i="75"/>
  <c r="FW26" i="75"/>
  <c r="FX10" i="75"/>
  <c r="FX11" i="75"/>
  <c r="FX48" i="75" s="1"/>
  <c r="FX12" i="75"/>
  <c r="FX18" i="75"/>
  <c r="FX19" i="75"/>
  <c r="FX24" i="75"/>
  <c r="FX25" i="75"/>
  <c r="FX26" i="75"/>
  <c r="FY10" i="75"/>
  <c r="FY11" i="75"/>
  <c r="FY48" i="75" s="1"/>
  <c r="FY12" i="75"/>
  <c r="FY18" i="75"/>
  <c r="FY19" i="75"/>
  <c r="FY24" i="75"/>
  <c r="FY25" i="75"/>
  <c r="FY26" i="75"/>
  <c r="FZ10" i="75"/>
  <c r="FZ11" i="75"/>
  <c r="FZ48" i="75" s="1"/>
  <c r="N99" i="75" s="1"/>
  <c r="FZ12" i="75"/>
  <c r="FZ18" i="75"/>
  <c r="FZ19" i="75"/>
  <c r="FZ24" i="75"/>
  <c r="FZ25" i="75"/>
  <c r="FZ26" i="75"/>
  <c r="GA10" i="75"/>
  <c r="GA11" i="75"/>
  <c r="GA12" i="75"/>
  <c r="GA18" i="75"/>
  <c r="GA19" i="75"/>
  <c r="GA24" i="75"/>
  <c r="GA25" i="75"/>
  <c r="GA26" i="75"/>
  <c r="GB10" i="75"/>
  <c r="GB11" i="75"/>
  <c r="GB12" i="75"/>
  <c r="GB18" i="75"/>
  <c r="GB19" i="75"/>
  <c r="GB24" i="75"/>
  <c r="GB25" i="75"/>
  <c r="GB26" i="75"/>
  <c r="GC10" i="75"/>
  <c r="GC11" i="75"/>
  <c r="GC12" i="75"/>
  <c r="GC18" i="75"/>
  <c r="GC19" i="75"/>
  <c r="GC24" i="75"/>
  <c r="GC25" i="75"/>
  <c r="GC26" i="75"/>
  <c r="GD10" i="75"/>
  <c r="GD11" i="75"/>
  <c r="GD12" i="75"/>
  <c r="GD18" i="75"/>
  <c r="GD19" i="75"/>
  <c r="GD24" i="75"/>
  <c r="GD25" i="75"/>
  <c r="GD26" i="75"/>
  <c r="GE10" i="75"/>
  <c r="GE11" i="75"/>
  <c r="GE48" i="75" s="1"/>
  <c r="GE12" i="75"/>
  <c r="GE18" i="75"/>
  <c r="GE19" i="75"/>
  <c r="GE24" i="75"/>
  <c r="GE25" i="75"/>
  <c r="GE26" i="75"/>
  <c r="K182" i="75"/>
  <c r="G12" i="78"/>
  <c r="J57" i="78"/>
  <c r="J58" i="78"/>
  <c r="J59" i="78"/>
  <c r="J61" i="78"/>
  <c r="J33" i="78"/>
  <c r="G33" i="78"/>
  <c r="R364" i="72"/>
  <c r="M385" i="72"/>
  <c r="L364" i="72"/>
  <c r="P286" i="72"/>
  <c r="O286" i="72"/>
  <c r="P115" i="72"/>
  <c r="P111" i="72" s="1"/>
  <c r="L230" i="72" s="1"/>
  <c r="L1784" i="93" s="1"/>
  <c r="P207" i="72"/>
  <c r="O115" i="72"/>
  <c r="O111" i="72" s="1"/>
  <c r="K230" i="72" s="1"/>
  <c r="K1784" i="93" s="1"/>
  <c r="O207" i="72"/>
  <c r="O189" i="72" s="1"/>
  <c r="K229" i="72" s="1"/>
  <c r="K1783" i="93" s="1"/>
  <c r="G1472" i="93"/>
  <c r="F378" i="73"/>
  <c r="F1472" i="93" s="1"/>
  <c r="J1472" i="93" s="1"/>
  <c r="G1470" i="93"/>
  <c r="J39" i="66"/>
  <c r="I40" i="66" s="1"/>
  <c r="K40" i="66" s="1"/>
  <c r="C767" i="93"/>
  <c r="N767" i="93"/>
  <c r="P767" i="93"/>
  <c r="C768" i="93"/>
  <c r="N768" i="93"/>
  <c r="P768" i="93"/>
  <c r="C769" i="93"/>
  <c r="N769" i="93"/>
  <c r="P769" i="93"/>
  <c r="HI769" i="93" s="1"/>
  <c r="C770" i="93"/>
  <c r="N770" i="93"/>
  <c r="P770" i="93"/>
  <c r="C771" i="93"/>
  <c r="N771" i="93"/>
  <c r="P771" i="93"/>
  <c r="C772" i="93"/>
  <c r="N772" i="93"/>
  <c r="P772" i="93"/>
  <c r="C773" i="93"/>
  <c r="N773" i="93"/>
  <c r="FS773" i="93" s="1"/>
  <c r="P773" i="93"/>
  <c r="C774" i="93"/>
  <c r="N774" i="93"/>
  <c r="GV774" i="93"/>
  <c r="P774" i="93"/>
  <c r="C775" i="93"/>
  <c r="N775" i="93"/>
  <c r="FT775" i="93" s="1"/>
  <c r="P775" i="93"/>
  <c r="C776" i="93"/>
  <c r="N776" i="93"/>
  <c r="GD776" i="93"/>
  <c r="P776" i="93"/>
  <c r="C777" i="93"/>
  <c r="N777" i="93"/>
  <c r="P777" i="93"/>
  <c r="C778" i="93"/>
  <c r="N778" i="93"/>
  <c r="P778" i="93"/>
  <c r="C779" i="93"/>
  <c r="N779" i="93"/>
  <c r="P779" i="93"/>
  <c r="C780" i="93"/>
  <c r="N780" i="93"/>
  <c r="P780" i="93"/>
  <c r="C781" i="93"/>
  <c r="N781" i="93"/>
  <c r="P781" i="93"/>
  <c r="C782" i="93"/>
  <c r="N782" i="93"/>
  <c r="P782" i="93"/>
  <c r="C783" i="93"/>
  <c r="N783" i="93"/>
  <c r="P783" i="93"/>
  <c r="C784" i="93"/>
  <c r="N784" i="93"/>
  <c r="P784" i="93"/>
  <c r="C785" i="93"/>
  <c r="N785" i="93"/>
  <c r="P785" i="93"/>
  <c r="C786" i="93"/>
  <c r="HI786" i="93" s="1"/>
  <c r="N786" i="93"/>
  <c r="P786" i="93"/>
  <c r="C787" i="93"/>
  <c r="N787" i="93"/>
  <c r="HI787" i="93" s="1"/>
  <c r="P787" i="93"/>
  <c r="C788" i="93"/>
  <c r="N788" i="93"/>
  <c r="P788" i="93"/>
  <c r="C789" i="93"/>
  <c r="N789" i="93"/>
  <c r="P789" i="93"/>
  <c r="C790" i="93"/>
  <c r="N790" i="93"/>
  <c r="P790" i="93"/>
  <c r="C791" i="93"/>
  <c r="N791" i="93"/>
  <c r="P791" i="93"/>
  <c r="C792" i="93"/>
  <c r="N792" i="93"/>
  <c r="P792" i="93"/>
  <c r="C793" i="93"/>
  <c r="N793" i="93"/>
  <c r="P793" i="93"/>
  <c r="C794" i="93"/>
  <c r="N794" i="93"/>
  <c r="P794" i="93"/>
  <c r="C795" i="93"/>
  <c r="N795" i="93"/>
  <c r="P795" i="93"/>
  <c r="C796" i="93"/>
  <c r="N796" i="93"/>
  <c r="P796" i="93"/>
  <c r="C797" i="93"/>
  <c r="N797" i="93"/>
  <c r="IA797" i="93" s="1"/>
  <c r="P797" i="93"/>
  <c r="C798" i="93"/>
  <c r="N798" i="93"/>
  <c r="FT798" i="93" s="1"/>
  <c r="P798" i="93"/>
  <c r="C799" i="93"/>
  <c r="N799" i="93"/>
  <c r="P799" i="93"/>
  <c r="C800" i="93"/>
  <c r="N800" i="93"/>
  <c r="HH800" i="93"/>
  <c r="P800" i="93"/>
  <c r="C801" i="93"/>
  <c r="N801" i="93"/>
  <c r="P801" i="93"/>
  <c r="C802" i="93"/>
  <c r="N802" i="93"/>
  <c r="P802" i="93"/>
  <c r="C803" i="93"/>
  <c r="N803" i="93"/>
  <c r="GN803" i="93"/>
  <c r="P803" i="93"/>
  <c r="C804" i="93"/>
  <c r="HQ804" i="93" s="1"/>
  <c r="N804" i="93"/>
  <c r="P804" i="93"/>
  <c r="R47" i="75"/>
  <c r="R804" i="93" s="1"/>
  <c r="Q47" i="75"/>
  <c r="Q804" i="93" s="1"/>
  <c r="R46" i="75"/>
  <c r="R803" i="93" s="1"/>
  <c r="Q46" i="75"/>
  <c r="Q803" i="93" s="1"/>
  <c r="R45" i="75"/>
  <c r="R802" i="93" s="1"/>
  <c r="Q45" i="75"/>
  <c r="Q802" i="93" s="1"/>
  <c r="R44" i="75"/>
  <c r="R801" i="93" s="1"/>
  <c r="Q44" i="75"/>
  <c r="Q801" i="93" s="1"/>
  <c r="R43" i="75"/>
  <c r="R800" i="93" s="1"/>
  <c r="Q43" i="75"/>
  <c r="Q800" i="93" s="1"/>
  <c r="R42" i="75"/>
  <c r="R799" i="93" s="1"/>
  <c r="Q42" i="75"/>
  <c r="Q799" i="93" s="1"/>
  <c r="R41" i="75"/>
  <c r="R798" i="93" s="1"/>
  <c r="Q41" i="75"/>
  <c r="Q798" i="93" s="1"/>
  <c r="R40" i="75"/>
  <c r="R797" i="93" s="1"/>
  <c r="Q40" i="75"/>
  <c r="Q797" i="93" s="1"/>
  <c r="R39" i="75"/>
  <c r="R796" i="93" s="1"/>
  <c r="Q39" i="75"/>
  <c r="Q796" i="93" s="1"/>
  <c r="R38" i="75"/>
  <c r="R795" i="93" s="1"/>
  <c r="Q38" i="75"/>
  <c r="Q795" i="93" s="1"/>
  <c r="R37" i="75"/>
  <c r="R794" i="93"/>
  <c r="Q37" i="75"/>
  <c r="Q794" i="93" s="1"/>
  <c r="R36" i="75"/>
  <c r="R793" i="93" s="1"/>
  <c r="Q36" i="75"/>
  <c r="Q793" i="93" s="1"/>
  <c r="R35" i="75"/>
  <c r="R792" i="93" s="1"/>
  <c r="Q35" i="75"/>
  <c r="Q792" i="93" s="1"/>
  <c r="R34" i="75"/>
  <c r="R791" i="93" s="1"/>
  <c r="Q34" i="75"/>
  <c r="Q791" i="93" s="1"/>
  <c r="R33" i="75"/>
  <c r="R790" i="93"/>
  <c r="Q33" i="75"/>
  <c r="Q790" i="93" s="1"/>
  <c r="R32" i="75"/>
  <c r="R789" i="93"/>
  <c r="Q32" i="75"/>
  <c r="Q789" i="93" s="1"/>
  <c r="R31" i="75"/>
  <c r="R788" i="93" s="1"/>
  <c r="Q31" i="75"/>
  <c r="Q788" i="93" s="1"/>
  <c r="R30" i="75"/>
  <c r="R787" i="93" s="1"/>
  <c r="Q30" i="75"/>
  <c r="Q787" i="93" s="1"/>
  <c r="R29" i="75"/>
  <c r="R786" i="93" s="1"/>
  <c r="Q29" i="75"/>
  <c r="Q786" i="93" s="1"/>
  <c r="R28" i="75"/>
  <c r="R785" i="93" s="1"/>
  <c r="Q28" i="75"/>
  <c r="Q785" i="93" s="1"/>
  <c r="R27" i="75"/>
  <c r="R784" i="93" s="1"/>
  <c r="Q27" i="75"/>
  <c r="Q784" i="93" s="1"/>
  <c r="Q26" i="75"/>
  <c r="Q25" i="75"/>
  <c r="Q782" i="93" s="1"/>
  <c r="Q24" i="75"/>
  <c r="Q781" i="93" s="1"/>
  <c r="R23" i="75"/>
  <c r="R780" i="93" s="1"/>
  <c r="Q23" i="75"/>
  <c r="Q780" i="93" s="1"/>
  <c r="R22" i="75"/>
  <c r="R779" i="93" s="1"/>
  <c r="Q22" i="75"/>
  <c r="Q779" i="93" s="1"/>
  <c r="R21" i="75"/>
  <c r="R778" i="93" s="1"/>
  <c r="Q21" i="75"/>
  <c r="Q778" i="93" s="1"/>
  <c r="R20" i="75"/>
  <c r="R777" i="93" s="1"/>
  <c r="Q20" i="75"/>
  <c r="Q777" i="93"/>
  <c r="Q19" i="75"/>
  <c r="Q18" i="75"/>
  <c r="Q17" i="75"/>
  <c r="Q774" i="93" s="1"/>
  <c r="R16" i="75"/>
  <c r="R773" i="93" s="1"/>
  <c r="Q16" i="75"/>
  <c r="Q773" i="93" s="1"/>
  <c r="R15" i="75"/>
  <c r="R772" i="93" s="1"/>
  <c r="Q15" i="75"/>
  <c r="Q772" i="93" s="1"/>
  <c r="R14" i="75"/>
  <c r="R771" i="93" s="1"/>
  <c r="Q14" i="75"/>
  <c r="Q771" i="93" s="1"/>
  <c r="R13" i="75"/>
  <c r="R770" i="93" s="1"/>
  <c r="Q13" i="75"/>
  <c r="Q770" i="93"/>
  <c r="Q12" i="75"/>
  <c r="Q769" i="93" s="1"/>
  <c r="Q11" i="75"/>
  <c r="Q10" i="75"/>
  <c r="S767" i="93"/>
  <c r="T767" i="93"/>
  <c r="B767" i="93"/>
  <c r="M767" i="93"/>
  <c r="E767" i="93"/>
  <c r="J767" i="93"/>
  <c r="S768" i="93"/>
  <c r="T768" i="93"/>
  <c r="B768" i="93"/>
  <c r="M768" i="93"/>
  <c r="E768" i="93"/>
  <c r="J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K10" i="75"/>
  <c r="L10" i="75"/>
  <c r="I13" i="75"/>
  <c r="K13" i="75" s="1"/>
  <c r="L13" i="75" s="1"/>
  <c r="I14" i="75"/>
  <c r="K14" i="75" s="1"/>
  <c r="L14" i="75" s="1"/>
  <c r="I15" i="75"/>
  <c r="I16" i="75"/>
  <c r="K16" i="75"/>
  <c r="L16" i="75" s="1"/>
  <c r="K17" i="75"/>
  <c r="L17" i="75" s="1"/>
  <c r="I20" i="75"/>
  <c r="K20" i="75" s="1"/>
  <c r="L20" i="75" s="1"/>
  <c r="I21" i="75"/>
  <c r="I22" i="75"/>
  <c r="K22" i="75" s="1"/>
  <c r="L22" i="75"/>
  <c r="I23" i="75"/>
  <c r="K23" i="75" s="1"/>
  <c r="L23" i="75" s="1"/>
  <c r="K24" i="75"/>
  <c r="L24" i="75" s="1"/>
  <c r="I27" i="75"/>
  <c r="K27" i="75" s="1"/>
  <c r="L27" i="75"/>
  <c r="I28" i="75"/>
  <c r="K28" i="75" s="1"/>
  <c r="L28" i="75" s="1"/>
  <c r="I29" i="75"/>
  <c r="K29" i="75"/>
  <c r="L29" i="75" s="1"/>
  <c r="I30" i="75"/>
  <c r="K30" i="75"/>
  <c r="L30" i="75" s="1"/>
  <c r="I31" i="75"/>
  <c r="K31" i="75" s="1"/>
  <c r="L31" i="75" s="1"/>
  <c r="I32" i="75"/>
  <c r="K32" i="75" s="1"/>
  <c r="L32" i="75" s="1"/>
  <c r="I33" i="75"/>
  <c r="K33" i="75" s="1"/>
  <c r="L33" i="75" s="1"/>
  <c r="I34" i="75"/>
  <c r="I35" i="75"/>
  <c r="K35" i="75" s="1"/>
  <c r="L35" i="75" s="1"/>
  <c r="I36" i="75"/>
  <c r="K36" i="75" s="1"/>
  <c r="L36" i="75" s="1"/>
  <c r="I37" i="75"/>
  <c r="I38" i="75"/>
  <c r="K38" i="75"/>
  <c r="L38" i="75" s="1"/>
  <c r="I39" i="75"/>
  <c r="K39" i="75" s="1"/>
  <c r="L39" i="75"/>
  <c r="I40" i="75"/>
  <c r="K40" i="75" s="1"/>
  <c r="L40" i="75" s="1"/>
  <c r="I41" i="75"/>
  <c r="K41" i="75"/>
  <c r="L41" i="75" s="1"/>
  <c r="I42" i="75"/>
  <c r="K42" i="75" s="1"/>
  <c r="L42" i="75" s="1"/>
  <c r="I43" i="75"/>
  <c r="K43" i="75" s="1"/>
  <c r="L43" i="75" s="1"/>
  <c r="I44" i="75"/>
  <c r="K44" i="75" s="1"/>
  <c r="L44" i="75" s="1"/>
  <c r="I45" i="75"/>
  <c r="K45" i="75"/>
  <c r="L45" i="75" s="1"/>
  <c r="I46" i="75"/>
  <c r="K46" i="75" s="1"/>
  <c r="L46" i="75"/>
  <c r="I47" i="75"/>
  <c r="K47" i="75"/>
  <c r="L47" i="75" s="1"/>
  <c r="G128" i="75"/>
  <c r="B17" i="74" s="1"/>
  <c r="G132" i="75"/>
  <c r="B18" i="74" s="1"/>
  <c r="F177" i="75"/>
  <c r="F188" i="75"/>
  <c r="K166" i="75"/>
  <c r="K175" i="75"/>
  <c r="K185"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3" i="75"/>
  <c r="GU14" i="75"/>
  <c r="GU15" i="75"/>
  <c r="GU16" i="75"/>
  <c r="GU17" i="75"/>
  <c r="GU20" i="75"/>
  <c r="GU21" i="75"/>
  <c r="GU22" i="75"/>
  <c r="GU23" i="75"/>
  <c r="GU27" i="75"/>
  <c r="GU28" i="75"/>
  <c r="GU29" i="75"/>
  <c r="GU30" i="75"/>
  <c r="GU31" i="75"/>
  <c r="GU32" i="75"/>
  <c r="GU33" i="75"/>
  <c r="GU34" i="75"/>
  <c r="GU35" i="75"/>
  <c r="GU36" i="75"/>
  <c r="GU37" i="75"/>
  <c r="GU38" i="75"/>
  <c r="GU39" i="75"/>
  <c r="GU40" i="75"/>
  <c r="GU41" i="75"/>
  <c r="GU42" i="75"/>
  <c r="GU43" i="75"/>
  <c r="GU44" i="75"/>
  <c r="GU45" i="75"/>
  <c r="GU46" i="75"/>
  <c r="GU47" i="75"/>
  <c r="HE13" i="75"/>
  <c r="HE14" i="75"/>
  <c r="HE15" i="75"/>
  <c r="HE16" i="75"/>
  <c r="HE17" i="75"/>
  <c r="HE20" i="75"/>
  <c r="HE21" i="75"/>
  <c r="HE22" i="75"/>
  <c r="HE23" i="75"/>
  <c r="HE27" i="75"/>
  <c r="HE28" i="75"/>
  <c r="HE29" i="75"/>
  <c r="HE30" i="75"/>
  <c r="HE31" i="75"/>
  <c r="HE32" i="75"/>
  <c r="HE33" i="75"/>
  <c r="HE34" i="75"/>
  <c r="HE35" i="75"/>
  <c r="HE36" i="75"/>
  <c r="HE37" i="75"/>
  <c r="HE38" i="75"/>
  <c r="HE39" i="75"/>
  <c r="HE40" i="75"/>
  <c r="HE41" i="75"/>
  <c r="HE42" i="75"/>
  <c r="HE43" i="75"/>
  <c r="HE44" i="75"/>
  <c r="HE45" i="75"/>
  <c r="HE46" i="75"/>
  <c r="HE47" i="75"/>
  <c r="HO13" i="75"/>
  <c r="HO14" i="75"/>
  <c r="HO15" i="75"/>
  <c r="HO16" i="75"/>
  <c r="HO17" i="75"/>
  <c r="HO20" i="75"/>
  <c r="HO21" i="75"/>
  <c r="HO22" i="75"/>
  <c r="HO23" i="75"/>
  <c r="HO27" i="75"/>
  <c r="HO28" i="75"/>
  <c r="HO29" i="75"/>
  <c r="HO30" i="75"/>
  <c r="HO31" i="75"/>
  <c r="HO32" i="75"/>
  <c r="HO33" i="75"/>
  <c r="HO34" i="75"/>
  <c r="HO35" i="75"/>
  <c r="HO36" i="75"/>
  <c r="HO37" i="75"/>
  <c r="HO38" i="75"/>
  <c r="HO39" i="75"/>
  <c r="HO40" i="75"/>
  <c r="HO41" i="75"/>
  <c r="HO42" i="75"/>
  <c r="HO43" i="75"/>
  <c r="HO44" i="75"/>
  <c r="HO45" i="75"/>
  <c r="HO46" i="75"/>
  <c r="HO47" i="75"/>
  <c r="HY13" i="75"/>
  <c r="HY14" i="75"/>
  <c r="HY15" i="75"/>
  <c r="HY16" i="75"/>
  <c r="HY17" i="75"/>
  <c r="HY20" i="75"/>
  <c r="HY21" i="75"/>
  <c r="HY22" i="75"/>
  <c r="HY23" i="75"/>
  <c r="HY27" i="75"/>
  <c r="HY28" i="75"/>
  <c r="HY29" i="75"/>
  <c r="HY30" i="75"/>
  <c r="HY31" i="75"/>
  <c r="HY32" i="75"/>
  <c r="HY33" i="75"/>
  <c r="HY34" i="75"/>
  <c r="HY35" i="75"/>
  <c r="HY36" i="75"/>
  <c r="HY37" i="75"/>
  <c r="HY38" i="75"/>
  <c r="HY39" i="75"/>
  <c r="HY40" i="75"/>
  <c r="HY41" i="75"/>
  <c r="HY42" i="75"/>
  <c r="HY43" i="75"/>
  <c r="HY44" i="75"/>
  <c r="HY45" i="75"/>
  <c r="HY46" i="75"/>
  <c r="HY47" i="75"/>
  <c r="FG13" i="75"/>
  <c r="FG14" i="75"/>
  <c r="FG15" i="75"/>
  <c r="FG16" i="75"/>
  <c r="FG17" i="75"/>
  <c r="FG20" i="75"/>
  <c r="FG21" i="75"/>
  <c r="FG22" i="75"/>
  <c r="FG23"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3" i="75"/>
  <c r="GA14" i="75"/>
  <c r="GA15" i="75"/>
  <c r="GA16" i="75"/>
  <c r="GA17" i="75"/>
  <c r="GA20" i="75"/>
  <c r="GA21" i="75"/>
  <c r="GA22" i="75"/>
  <c r="GA23" i="75"/>
  <c r="GA27" i="75"/>
  <c r="GA28" i="75"/>
  <c r="GA29" i="75"/>
  <c r="GA30" i="75"/>
  <c r="GA31" i="75"/>
  <c r="GA32" i="75"/>
  <c r="GA33" i="75"/>
  <c r="GA34" i="75"/>
  <c r="GA35" i="75"/>
  <c r="GA36" i="75"/>
  <c r="GA37" i="75"/>
  <c r="GA38" i="75"/>
  <c r="GA39" i="75"/>
  <c r="GA40" i="75"/>
  <c r="GA41" i="75"/>
  <c r="GA42" i="75"/>
  <c r="GA43" i="75"/>
  <c r="GA44" i="75"/>
  <c r="GA45" i="75"/>
  <c r="GA46" i="75"/>
  <c r="GA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3" i="75"/>
  <c r="GV14" i="75"/>
  <c r="GV15" i="75"/>
  <c r="GV16" i="75"/>
  <c r="GV17" i="75"/>
  <c r="GV20" i="75"/>
  <c r="GV21" i="75"/>
  <c r="GV22" i="75"/>
  <c r="GV23" i="75"/>
  <c r="GV27" i="75"/>
  <c r="GV28" i="75"/>
  <c r="GV29" i="75"/>
  <c r="GV30" i="75"/>
  <c r="GV31" i="75"/>
  <c r="GV32" i="75"/>
  <c r="GV33" i="75"/>
  <c r="GV34" i="75"/>
  <c r="GV35" i="75"/>
  <c r="GV36" i="75"/>
  <c r="GV37" i="75"/>
  <c r="GV38" i="75"/>
  <c r="GV39" i="75"/>
  <c r="GV40" i="75"/>
  <c r="GV41" i="75"/>
  <c r="GV42" i="75"/>
  <c r="GV43" i="75"/>
  <c r="GV44" i="75"/>
  <c r="GV45" i="75"/>
  <c r="GV46" i="75"/>
  <c r="GV47" i="75"/>
  <c r="HF13" i="75"/>
  <c r="HF14" i="75"/>
  <c r="HF15" i="75"/>
  <c r="HF16" i="75"/>
  <c r="HF17" i="75"/>
  <c r="HF20" i="75"/>
  <c r="HF21" i="75"/>
  <c r="HF22" i="75"/>
  <c r="HF23" i="75"/>
  <c r="HF27" i="75"/>
  <c r="HF28" i="75"/>
  <c r="HF29" i="75"/>
  <c r="HF30" i="75"/>
  <c r="HF31" i="75"/>
  <c r="HF32" i="75"/>
  <c r="HF33" i="75"/>
  <c r="HF34" i="75"/>
  <c r="HF35" i="75"/>
  <c r="HF36" i="75"/>
  <c r="HF37" i="75"/>
  <c r="HF38" i="75"/>
  <c r="HF39" i="75"/>
  <c r="HF40" i="75"/>
  <c r="HF41" i="75"/>
  <c r="HF42" i="75"/>
  <c r="HF43" i="75"/>
  <c r="HF44" i="75"/>
  <c r="HF45" i="75"/>
  <c r="HF46" i="75"/>
  <c r="HF47" i="75"/>
  <c r="HP13" i="75"/>
  <c r="HP14" i="75"/>
  <c r="HP15" i="75"/>
  <c r="HP16" i="75"/>
  <c r="HP17" i="75"/>
  <c r="HP20" i="75"/>
  <c r="HP21" i="75"/>
  <c r="HP22" i="75"/>
  <c r="HP23" i="75"/>
  <c r="HP27" i="75"/>
  <c r="HP28" i="75"/>
  <c r="HP29" i="75"/>
  <c r="HP30" i="75"/>
  <c r="HP31" i="75"/>
  <c r="HP32" i="75"/>
  <c r="HP33" i="75"/>
  <c r="HP34" i="75"/>
  <c r="HP35" i="75"/>
  <c r="HP36" i="75"/>
  <c r="HP37" i="75"/>
  <c r="HP38" i="75"/>
  <c r="HP39" i="75"/>
  <c r="HP40" i="75"/>
  <c r="HP41" i="75"/>
  <c r="HP42" i="75"/>
  <c r="HP43" i="75"/>
  <c r="HP44" i="75"/>
  <c r="HP45" i="75"/>
  <c r="HP46" i="75"/>
  <c r="HP47" i="75"/>
  <c r="HZ13" i="75"/>
  <c r="HZ14" i="75"/>
  <c r="HZ15" i="75"/>
  <c r="HZ16" i="75"/>
  <c r="HZ17" i="75"/>
  <c r="HZ20" i="75"/>
  <c r="HZ21" i="75"/>
  <c r="HZ22" i="75"/>
  <c r="HZ23" i="75"/>
  <c r="HZ27" i="75"/>
  <c r="HZ28" i="75"/>
  <c r="HZ29" i="75"/>
  <c r="HZ30" i="75"/>
  <c r="HZ31" i="75"/>
  <c r="HZ32" i="75"/>
  <c r="HZ33" i="75"/>
  <c r="HZ34" i="75"/>
  <c r="HZ35" i="75"/>
  <c r="HZ36" i="75"/>
  <c r="HZ37" i="75"/>
  <c r="HZ38" i="75"/>
  <c r="HZ39" i="75"/>
  <c r="HZ40" i="75"/>
  <c r="HZ41" i="75"/>
  <c r="HZ42" i="75"/>
  <c r="HZ43" i="75"/>
  <c r="HZ44" i="75"/>
  <c r="HZ45" i="75"/>
  <c r="HZ46" i="75"/>
  <c r="HZ47" i="75"/>
  <c r="FH13" i="75"/>
  <c r="FH14" i="75"/>
  <c r="FH15" i="75"/>
  <c r="FH16" i="75"/>
  <c r="FH17" i="75"/>
  <c r="FH20" i="75"/>
  <c r="FH21" i="75"/>
  <c r="FH22" i="75"/>
  <c r="FH23"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3" i="75"/>
  <c r="GB14" i="75"/>
  <c r="GB15" i="75"/>
  <c r="GB16" i="75"/>
  <c r="GB17" i="75"/>
  <c r="GB20" i="75"/>
  <c r="GB21" i="75"/>
  <c r="GB22" i="75"/>
  <c r="GB23"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3" i="75"/>
  <c r="GW14" i="75"/>
  <c r="GW15" i="75"/>
  <c r="GW16" i="75"/>
  <c r="GW17" i="75"/>
  <c r="GW20" i="75"/>
  <c r="GW21" i="75"/>
  <c r="GW22" i="75"/>
  <c r="GW23" i="75"/>
  <c r="GW27" i="75"/>
  <c r="GW28" i="75"/>
  <c r="GW29" i="75"/>
  <c r="GW30" i="75"/>
  <c r="GW31" i="75"/>
  <c r="GW32" i="75"/>
  <c r="GW33" i="75"/>
  <c r="GW34" i="75"/>
  <c r="GW35" i="75"/>
  <c r="GW36" i="75"/>
  <c r="GW37" i="75"/>
  <c r="GW38" i="75"/>
  <c r="GW39" i="75"/>
  <c r="GW40" i="75"/>
  <c r="GW41" i="75"/>
  <c r="GW42" i="75"/>
  <c r="GW43" i="75"/>
  <c r="GW44" i="75"/>
  <c r="GW45" i="75"/>
  <c r="GW46" i="75"/>
  <c r="GW47" i="75"/>
  <c r="HG13" i="75"/>
  <c r="HG14" i="75"/>
  <c r="HG15" i="75"/>
  <c r="HG16" i="75"/>
  <c r="HG17" i="75"/>
  <c r="HG20" i="75"/>
  <c r="HG21" i="75"/>
  <c r="HG22" i="75"/>
  <c r="HG23" i="75"/>
  <c r="HG27" i="75"/>
  <c r="HG28" i="75"/>
  <c r="HG29" i="75"/>
  <c r="HG30" i="75"/>
  <c r="HG31" i="75"/>
  <c r="HG32" i="75"/>
  <c r="HG33" i="75"/>
  <c r="HG34" i="75"/>
  <c r="HG35" i="75"/>
  <c r="HG36" i="75"/>
  <c r="HG37" i="75"/>
  <c r="HG38" i="75"/>
  <c r="HG39" i="75"/>
  <c r="HG40" i="75"/>
  <c r="HG41" i="75"/>
  <c r="HG42" i="75"/>
  <c r="HG43" i="75"/>
  <c r="HG44" i="75"/>
  <c r="HG45" i="75"/>
  <c r="HG46" i="75"/>
  <c r="HG47" i="75"/>
  <c r="HQ13" i="75"/>
  <c r="HQ14" i="75"/>
  <c r="HQ15" i="75"/>
  <c r="HQ16" i="75"/>
  <c r="HQ17" i="75"/>
  <c r="HQ20" i="75"/>
  <c r="HQ21" i="75"/>
  <c r="HQ22" i="75"/>
  <c r="HQ23" i="75"/>
  <c r="HQ27" i="75"/>
  <c r="HQ28" i="75"/>
  <c r="HQ29" i="75"/>
  <c r="HQ30" i="75"/>
  <c r="HQ31" i="75"/>
  <c r="HQ32" i="75"/>
  <c r="HQ33" i="75"/>
  <c r="HQ34" i="75"/>
  <c r="HQ35" i="75"/>
  <c r="HQ36" i="75"/>
  <c r="HQ37" i="75"/>
  <c r="HQ38" i="75"/>
  <c r="HQ39" i="75"/>
  <c r="HQ40" i="75"/>
  <c r="HQ41" i="75"/>
  <c r="HQ42" i="75"/>
  <c r="HQ43" i="75"/>
  <c r="HQ44" i="75"/>
  <c r="HQ45" i="75"/>
  <c r="HQ46" i="75"/>
  <c r="HQ47" i="75"/>
  <c r="IA13" i="75"/>
  <c r="IA14" i="75"/>
  <c r="IA15" i="75"/>
  <c r="IA16" i="75"/>
  <c r="IA17" i="75"/>
  <c r="IA20" i="75"/>
  <c r="IA21" i="75"/>
  <c r="IA22" i="75"/>
  <c r="IA23" i="75"/>
  <c r="IA27" i="75"/>
  <c r="IA28" i="75"/>
  <c r="IA29" i="75"/>
  <c r="IA30" i="75"/>
  <c r="IA31" i="75"/>
  <c r="IA32" i="75"/>
  <c r="IA33" i="75"/>
  <c r="IA34" i="75"/>
  <c r="IA35" i="75"/>
  <c r="IA36" i="75"/>
  <c r="IA37" i="75"/>
  <c r="IA38" i="75"/>
  <c r="IA39" i="75"/>
  <c r="IA40" i="75"/>
  <c r="IA41" i="75"/>
  <c r="IA42" i="75"/>
  <c r="IA43" i="75"/>
  <c r="IA44" i="75"/>
  <c r="IA45" i="75"/>
  <c r="IA46" i="75"/>
  <c r="IA47" i="75"/>
  <c r="FI13" i="75"/>
  <c r="FI14" i="75"/>
  <c r="FI15" i="75"/>
  <c r="FI16" i="75"/>
  <c r="FI17" i="75"/>
  <c r="FI20" i="75"/>
  <c r="FI21" i="75"/>
  <c r="FI22" i="75"/>
  <c r="FI23"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3" i="75"/>
  <c r="GC14" i="75"/>
  <c r="GC15" i="75"/>
  <c r="GC16" i="75"/>
  <c r="GC17" i="75"/>
  <c r="GC20" i="75"/>
  <c r="GC21" i="75"/>
  <c r="GC22" i="75"/>
  <c r="GC23"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3" i="75"/>
  <c r="GX14" i="75"/>
  <c r="GX15" i="75"/>
  <c r="GX16" i="75"/>
  <c r="GX17" i="75"/>
  <c r="GX20" i="75"/>
  <c r="GX21" i="75"/>
  <c r="GX22" i="75"/>
  <c r="GX23" i="75"/>
  <c r="GX27" i="75"/>
  <c r="GX28" i="75"/>
  <c r="GX29" i="75"/>
  <c r="GX30" i="75"/>
  <c r="GX31" i="75"/>
  <c r="GX32" i="75"/>
  <c r="GX33" i="75"/>
  <c r="GX34" i="75"/>
  <c r="GX35" i="75"/>
  <c r="GX36" i="75"/>
  <c r="GX37" i="75"/>
  <c r="GX38" i="75"/>
  <c r="GX39" i="75"/>
  <c r="GX40" i="75"/>
  <c r="GX41" i="75"/>
  <c r="GX42" i="75"/>
  <c r="GX43" i="75"/>
  <c r="GX44" i="75"/>
  <c r="GX45" i="75"/>
  <c r="GX46" i="75"/>
  <c r="GX47" i="75"/>
  <c r="HH13" i="75"/>
  <c r="HH14" i="75"/>
  <c r="HH15" i="75"/>
  <c r="HH16" i="75"/>
  <c r="HH17" i="75"/>
  <c r="HH20" i="75"/>
  <c r="HH21" i="75"/>
  <c r="HH22" i="75"/>
  <c r="HH23" i="75"/>
  <c r="HH27" i="75"/>
  <c r="HH28" i="75"/>
  <c r="HH29" i="75"/>
  <c r="HH30" i="75"/>
  <c r="HH31" i="75"/>
  <c r="HH32" i="75"/>
  <c r="HH33" i="75"/>
  <c r="HH34" i="75"/>
  <c r="HH35" i="75"/>
  <c r="HH36" i="75"/>
  <c r="HH37" i="75"/>
  <c r="HH38" i="75"/>
  <c r="HH39" i="75"/>
  <c r="HH40" i="75"/>
  <c r="HH41" i="75"/>
  <c r="HH42" i="75"/>
  <c r="HH43" i="75"/>
  <c r="HH44" i="75"/>
  <c r="HH45" i="75"/>
  <c r="HH46" i="75"/>
  <c r="HH47" i="75"/>
  <c r="HR13" i="75"/>
  <c r="HR14" i="75"/>
  <c r="HR15" i="75"/>
  <c r="HR16" i="75"/>
  <c r="HR17" i="75"/>
  <c r="HR20" i="75"/>
  <c r="HR21" i="75"/>
  <c r="HR22" i="75"/>
  <c r="HR23" i="75"/>
  <c r="HR27" i="75"/>
  <c r="HR28" i="75"/>
  <c r="HR29" i="75"/>
  <c r="HR30" i="75"/>
  <c r="HR31" i="75"/>
  <c r="HR32" i="75"/>
  <c r="HR33" i="75"/>
  <c r="HR34" i="75"/>
  <c r="HR35" i="75"/>
  <c r="HR36" i="75"/>
  <c r="HR37" i="75"/>
  <c r="HR38" i="75"/>
  <c r="HR39" i="75"/>
  <c r="HR40" i="75"/>
  <c r="HR41" i="75"/>
  <c r="HR42" i="75"/>
  <c r="HR43" i="75"/>
  <c r="HR44" i="75"/>
  <c r="HR45" i="75"/>
  <c r="HR46" i="75"/>
  <c r="HR47" i="75"/>
  <c r="IB13" i="75"/>
  <c r="IB14" i="75"/>
  <c r="IB15" i="75"/>
  <c r="IB16" i="75"/>
  <c r="IB17" i="75"/>
  <c r="IB20" i="75"/>
  <c r="IB21" i="75"/>
  <c r="IB22" i="75"/>
  <c r="IB23" i="75"/>
  <c r="IB27" i="75"/>
  <c r="IB28" i="75"/>
  <c r="IB29" i="75"/>
  <c r="IB30" i="75"/>
  <c r="IB31" i="75"/>
  <c r="IB32" i="75"/>
  <c r="IB33" i="75"/>
  <c r="IB34" i="75"/>
  <c r="IB35" i="75"/>
  <c r="IB36" i="75"/>
  <c r="IB37" i="75"/>
  <c r="IB38" i="75"/>
  <c r="IB39" i="75"/>
  <c r="IB40" i="75"/>
  <c r="IB41" i="75"/>
  <c r="IB42" i="75"/>
  <c r="IB43" i="75"/>
  <c r="IB44" i="75"/>
  <c r="IB45" i="75"/>
  <c r="IB46" i="75"/>
  <c r="IB47" i="75"/>
  <c r="FJ13" i="75"/>
  <c r="FJ14" i="75"/>
  <c r="FJ15" i="75"/>
  <c r="FJ16" i="75"/>
  <c r="FJ17" i="75"/>
  <c r="FJ20" i="75"/>
  <c r="FJ21" i="75"/>
  <c r="FJ22" i="75"/>
  <c r="FJ23"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3" i="75"/>
  <c r="GD14" i="75"/>
  <c r="GD15" i="75"/>
  <c r="GD16" i="75"/>
  <c r="GD17" i="75"/>
  <c r="GD20" i="75"/>
  <c r="GD21" i="75"/>
  <c r="GD22" i="75"/>
  <c r="GD23"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3" i="75"/>
  <c r="GY14" i="75"/>
  <c r="GY15" i="75"/>
  <c r="GY16" i="75"/>
  <c r="GY17" i="75"/>
  <c r="GY20" i="75"/>
  <c r="GY21" i="75"/>
  <c r="GY22" i="75"/>
  <c r="GY23" i="75"/>
  <c r="GY27" i="75"/>
  <c r="GY28" i="75"/>
  <c r="GY29" i="75"/>
  <c r="GY30" i="75"/>
  <c r="GY31" i="75"/>
  <c r="GY32" i="75"/>
  <c r="GY33" i="75"/>
  <c r="GY34" i="75"/>
  <c r="GY35" i="75"/>
  <c r="GY36" i="75"/>
  <c r="GY37" i="75"/>
  <c r="GY38" i="75"/>
  <c r="GY39" i="75"/>
  <c r="GY40" i="75"/>
  <c r="GY41" i="75"/>
  <c r="GY42" i="75"/>
  <c r="GY43" i="75"/>
  <c r="GY44" i="75"/>
  <c r="GY45" i="75"/>
  <c r="GY46" i="75"/>
  <c r="GY47" i="75"/>
  <c r="HI13" i="75"/>
  <c r="HI14" i="75"/>
  <c r="HI15" i="75"/>
  <c r="HI16" i="75"/>
  <c r="HI17" i="75"/>
  <c r="HI20" i="75"/>
  <c r="HI21" i="75"/>
  <c r="HI22" i="75"/>
  <c r="HI23" i="75"/>
  <c r="HI27" i="75"/>
  <c r="HI28" i="75"/>
  <c r="HI29" i="75"/>
  <c r="HI30" i="75"/>
  <c r="HI31" i="75"/>
  <c r="HI32" i="75"/>
  <c r="HI33" i="75"/>
  <c r="HI34" i="75"/>
  <c r="HI35" i="75"/>
  <c r="HI36" i="75"/>
  <c r="HI37" i="75"/>
  <c r="HI38" i="75"/>
  <c r="HI39" i="75"/>
  <c r="HI40" i="75"/>
  <c r="HI41" i="75"/>
  <c r="HI42" i="75"/>
  <c r="HI43" i="75"/>
  <c r="HI44" i="75"/>
  <c r="HI45" i="75"/>
  <c r="HI46" i="75"/>
  <c r="HI47" i="75"/>
  <c r="HS13" i="75"/>
  <c r="HS14" i="75"/>
  <c r="HS15" i="75"/>
  <c r="HS16" i="75"/>
  <c r="HS17" i="75"/>
  <c r="HS20" i="75"/>
  <c r="HS21" i="75"/>
  <c r="HS22" i="75"/>
  <c r="HS23" i="75"/>
  <c r="HS27" i="75"/>
  <c r="HS28" i="75"/>
  <c r="HS29" i="75"/>
  <c r="HS30" i="75"/>
  <c r="HS31" i="75"/>
  <c r="HS32" i="75"/>
  <c r="HS33" i="75"/>
  <c r="HS34" i="75"/>
  <c r="HS35" i="75"/>
  <c r="HS36" i="75"/>
  <c r="HS37" i="75"/>
  <c r="HS38" i="75"/>
  <c r="HS39" i="75"/>
  <c r="HS40" i="75"/>
  <c r="HS41" i="75"/>
  <c r="HS42" i="75"/>
  <c r="HS43" i="75"/>
  <c r="HS44" i="75"/>
  <c r="HS45" i="75"/>
  <c r="HS46" i="75"/>
  <c r="HS47" i="75"/>
  <c r="IC13" i="75"/>
  <c r="IC14" i="75"/>
  <c r="IC15" i="75"/>
  <c r="IC16" i="75"/>
  <c r="IC17" i="75"/>
  <c r="IC20" i="75"/>
  <c r="IC21" i="75"/>
  <c r="IC22" i="75"/>
  <c r="IC23" i="75"/>
  <c r="IC27" i="75"/>
  <c r="IC28" i="75"/>
  <c r="IC29" i="75"/>
  <c r="IC30" i="75"/>
  <c r="IC31" i="75"/>
  <c r="IC32" i="75"/>
  <c r="IC33" i="75"/>
  <c r="IC34" i="75"/>
  <c r="IC35" i="75"/>
  <c r="IC36" i="75"/>
  <c r="IC37" i="75"/>
  <c r="IC38" i="75"/>
  <c r="IC39" i="75"/>
  <c r="IC40" i="75"/>
  <c r="IC41" i="75"/>
  <c r="IC42" i="75"/>
  <c r="IC43" i="75"/>
  <c r="IC44" i="75"/>
  <c r="IC45" i="75"/>
  <c r="IC46" i="75"/>
  <c r="IC47" i="75"/>
  <c r="FK13" i="75"/>
  <c r="FK14" i="75"/>
  <c r="FK15" i="75"/>
  <c r="FK16" i="75"/>
  <c r="FK17" i="75"/>
  <c r="FK20" i="75"/>
  <c r="FK21" i="75"/>
  <c r="FK22" i="75"/>
  <c r="FK23"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3" i="75"/>
  <c r="GE14" i="75"/>
  <c r="GE15" i="75"/>
  <c r="GE16" i="75"/>
  <c r="GE17" i="75"/>
  <c r="GE20" i="75"/>
  <c r="GE21" i="75"/>
  <c r="GE22" i="75"/>
  <c r="GE23"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N38" i="68"/>
  <c r="C24" i="74" s="1"/>
  <c r="C980" i="93" s="1"/>
  <c r="N39" i="68"/>
  <c r="N40" i="68"/>
  <c r="E26" i="74" s="1"/>
  <c r="E982" i="93" s="1"/>
  <c r="E990" i="93" s="1"/>
  <c r="C13" i="74"/>
  <c r="D13" i="74" s="1"/>
  <c r="E13" i="74" s="1"/>
  <c r="F13" i="74" s="1"/>
  <c r="G13" i="74" s="1"/>
  <c r="H13" i="74" s="1"/>
  <c r="I13" i="74" s="1"/>
  <c r="J13" i="74" s="1"/>
  <c r="K13" i="74" s="1"/>
  <c r="B43" i="74" s="1"/>
  <c r="C43" i="74" s="1"/>
  <c r="D43" i="74" s="1"/>
  <c r="E43" i="74" s="1"/>
  <c r="F43" i="74" s="1"/>
  <c r="H128" i="75"/>
  <c r="C17" i="74" s="1"/>
  <c r="H132" i="75"/>
  <c r="C18" i="74"/>
  <c r="I128" i="75"/>
  <c r="D17" i="74" s="1"/>
  <c r="I132" i="75"/>
  <c r="D18" i="74" s="1"/>
  <c r="J128" i="75"/>
  <c r="E17" i="74" s="1"/>
  <c r="J132" i="75"/>
  <c r="E18" i="74" s="1"/>
  <c r="K128" i="75"/>
  <c r="F17" i="74" s="1"/>
  <c r="K132" i="75"/>
  <c r="F18" i="74" s="1"/>
  <c r="F29" i="74"/>
  <c r="L128" i="75"/>
  <c r="G17" i="74" s="1"/>
  <c r="L132" i="75"/>
  <c r="G18" i="74" s="1"/>
  <c r="G29" i="74"/>
  <c r="M128" i="75"/>
  <c r="H17" i="74" s="1"/>
  <c r="M132" i="75"/>
  <c r="H18" i="74" s="1"/>
  <c r="H29" i="74"/>
  <c r="N128" i="75"/>
  <c r="I17" i="74" s="1"/>
  <c r="N132" i="75"/>
  <c r="I18" i="74" s="1"/>
  <c r="I29" i="74"/>
  <c r="I985" i="93" s="1"/>
  <c r="O128" i="75"/>
  <c r="J17" i="74" s="1"/>
  <c r="O132" i="75"/>
  <c r="J18" i="74" s="1"/>
  <c r="J29" i="74"/>
  <c r="P128" i="75"/>
  <c r="K17" i="74" s="1"/>
  <c r="P132" i="75"/>
  <c r="K18" i="74"/>
  <c r="K29" i="74"/>
  <c r="G137" i="75"/>
  <c r="B47" i="74"/>
  <c r="G141" i="75"/>
  <c r="B48" i="74" s="1"/>
  <c r="B59" i="74"/>
  <c r="H137" i="75"/>
  <c r="C47" i="74" s="1"/>
  <c r="H141" i="75"/>
  <c r="C48" i="74" s="1"/>
  <c r="C59" i="74"/>
  <c r="I137" i="75"/>
  <c r="D47" i="74" s="1"/>
  <c r="I141" i="75"/>
  <c r="D48" i="74" s="1"/>
  <c r="D56" i="74"/>
  <c r="D1012" i="93" s="1"/>
  <c r="D1020" i="93" s="1"/>
  <c r="D59" i="74"/>
  <c r="J137" i="75"/>
  <c r="E47" i="74"/>
  <c r="J141" i="75"/>
  <c r="E48" i="74"/>
  <c r="E56" i="74"/>
  <c r="E59" i="74"/>
  <c r="K137" i="75"/>
  <c r="F47" i="74" s="1"/>
  <c r="K141" i="75"/>
  <c r="F48" i="74" s="1"/>
  <c r="F59" i="74"/>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H94" i="93"/>
  <c r="H97" i="93"/>
  <c r="H95"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O1972" i="93"/>
  <c r="R1968" i="93" s="1"/>
  <c r="Q1972" i="93"/>
  <c r="S1918" i="93"/>
  <c r="O1871" i="93"/>
  <c r="Q1871" i="93" s="1"/>
  <c r="O1859" i="93"/>
  <c r="U1842" i="93"/>
  <c r="U1841" i="93"/>
  <c r="M1841" i="93" s="1"/>
  <c r="O1763" i="93"/>
  <c r="Q1763" i="93" s="1"/>
  <c r="O40" i="66"/>
  <c r="T1728" i="93"/>
  <c r="T1726" i="93"/>
  <c r="O1682" i="93"/>
  <c r="Q1682" i="93"/>
  <c r="O1673" i="93"/>
  <c r="Q1673" i="93" s="1"/>
  <c r="O1657" i="93"/>
  <c r="Q1657" i="93" s="1"/>
  <c r="A2013" i="93"/>
  <c r="A2010" i="93"/>
  <c r="P1991" i="93"/>
  <c r="O1991" i="93"/>
  <c r="P1990" i="93"/>
  <c r="O1990" i="93"/>
  <c r="P1979" i="93"/>
  <c r="O1979" i="93"/>
  <c r="Q1979" i="93" s="1"/>
  <c r="P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P1918" i="93"/>
  <c r="O1919" i="93"/>
  <c r="O1918" i="93"/>
  <c r="J1902" i="93"/>
  <c r="I1902" i="93"/>
  <c r="H1902" i="93"/>
  <c r="P1909" i="93"/>
  <c r="O1909" i="93"/>
  <c r="P1908" i="93"/>
  <c r="O1908" i="93"/>
  <c r="Q1908" i="93" s="1"/>
  <c r="P1901" i="93"/>
  <c r="O1901" i="93"/>
  <c r="N1901" i="93" s="1"/>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P1864" i="93"/>
  <c r="O1864" i="93"/>
  <c r="Q1864" i="93" s="1"/>
  <c r="P1863" i="93"/>
  <c r="O1863" i="93"/>
  <c r="Q1863" i="93" s="1"/>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L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E1719" i="93"/>
  <c r="F1719" i="93"/>
  <c r="L1723" i="93"/>
  <c r="K1723" i="93"/>
  <c r="L1722" i="93"/>
  <c r="K1722" i="93"/>
  <c r="L1721" i="93"/>
  <c r="K1721" i="93"/>
  <c r="J1723" i="93"/>
  <c r="I1723" i="93"/>
  <c r="M1723" i="93" s="1"/>
  <c r="P1723" i="93" s="1"/>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P1656" i="93"/>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O82" i="75"/>
  <c r="O1974" i="93" s="1"/>
  <c r="L1970" i="93"/>
  <c r="G23" i="78"/>
  <c r="G27" i="78"/>
  <c r="G64" i="78"/>
  <c r="G77" i="78"/>
  <c r="G83" i="78"/>
  <c r="G91" i="78"/>
  <c r="G111" i="78"/>
  <c r="G130" i="78"/>
  <c r="J1916" i="93"/>
  <c r="L1910" i="93"/>
  <c r="I1910" i="93"/>
  <c r="F1910" i="93"/>
  <c r="C1910" i="93"/>
  <c r="I1891" i="93"/>
  <c r="O1879" i="93"/>
  <c r="L1871" i="93"/>
  <c r="L1858" i="93"/>
  <c r="L1849" i="93"/>
  <c r="J1849" i="93"/>
  <c r="L1848" i="93"/>
  <c r="H1827" i="93"/>
  <c r="I1769" i="93"/>
  <c r="J1767" i="93"/>
  <c r="M1764" i="93"/>
  <c r="I1764" i="93"/>
  <c r="E1764" i="93"/>
  <c r="L1763" i="93"/>
  <c r="D1723" i="93"/>
  <c r="G1721" i="93"/>
  <c r="F1714" i="93"/>
  <c r="L1673" i="93"/>
  <c r="J1667" i="93"/>
  <c r="I1651" i="93"/>
  <c r="H1637" i="93"/>
  <c r="J1622" i="93"/>
  <c r="A1555" i="93"/>
  <c r="N305" i="73"/>
  <c r="N303" i="73"/>
  <c r="M303" i="73"/>
  <c r="M1397" i="93" s="1"/>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L1397" i="93" s="1"/>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N48" i="81"/>
  <c r="O48" i="81"/>
  <c r="P48" i="81"/>
  <c r="Q48" i="81"/>
  <c r="R48" i="81"/>
  <c r="N50" i="81"/>
  <c r="O50" i="81"/>
  <c r="P50" i="81"/>
  <c r="Q50" i="81"/>
  <c r="R50" i="81"/>
  <c r="N51" i="81"/>
  <c r="O51" i="81"/>
  <c r="P51" i="81"/>
  <c r="Q51" i="81"/>
  <c r="R51" i="81"/>
  <c r="N49" i="81"/>
  <c r="O49" i="81"/>
  <c r="P49" i="81"/>
  <c r="Q49" i="81"/>
  <c r="R49" i="81"/>
  <c r="J1163" i="93"/>
  <c r="I1163" i="93"/>
  <c r="Q1158" i="93"/>
  <c r="P1158" i="93"/>
  <c r="Q1157" i="93"/>
  <c r="Q1140" i="93"/>
  <c r="P1140" i="93"/>
  <c r="Q1139" i="93"/>
  <c r="Q1137" i="93"/>
  <c r="P1137" i="93"/>
  <c r="Q1136" i="93"/>
  <c r="P1136" i="93"/>
  <c r="Q1144" i="93"/>
  <c r="P1144" i="93"/>
  <c r="Q1143" i="93"/>
  <c r="P1143" i="93"/>
  <c r="L1167" i="93"/>
  <c r="K1167" i="93"/>
  <c r="J73" i="73"/>
  <c r="J1167" i="93" s="1"/>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HD13" i="75"/>
  <c r="HD14" i="75"/>
  <c r="HD15" i="75"/>
  <c r="HD16" i="75"/>
  <c r="HD17" i="75"/>
  <c r="HD20" i="75"/>
  <c r="HD21" i="75"/>
  <c r="HD22" i="75"/>
  <c r="HD23" i="75"/>
  <c r="HD27" i="75"/>
  <c r="HD28" i="75"/>
  <c r="HD29" i="75"/>
  <c r="HD30" i="75"/>
  <c r="HD31" i="75"/>
  <c r="HD32" i="75"/>
  <c r="HD33" i="75"/>
  <c r="HD34" i="75"/>
  <c r="HD35" i="75"/>
  <c r="HD36" i="75"/>
  <c r="HD37" i="75"/>
  <c r="HD38" i="75"/>
  <c r="HD39" i="75"/>
  <c r="HD40" i="75"/>
  <c r="HD41" i="75"/>
  <c r="HD42" i="75"/>
  <c r="HD43" i="75"/>
  <c r="HD44" i="75"/>
  <c r="HD45" i="75"/>
  <c r="HD46" i="75"/>
  <c r="HD47" i="75"/>
  <c r="HX13" i="75"/>
  <c r="HX14" i="75"/>
  <c r="HX15" i="75"/>
  <c r="HX16" i="75"/>
  <c r="HX17" i="75"/>
  <c r="HX20" i="75"/>
  <c r="HX21" i="75"/>
  <c r="HX22" i="75"/>
  <c r="HX23" i="75"/>
  <c r="HX27" i="75"/>
  <c r="HX28" i="75"/>
  <c r="HX29" i="75"/>
  <c r="HX30" i="75"/>
  <c r="HX31" i="75"/>
  <c r="HX32" i="75"/>
  <c r="HX33" i="75"/>
  <c r="HX34" i="75"/>
  <c r="HX35" i="75"/>
  <c r="HX36" i="75"/>
  <c r="HX37" i="75"/>
  <c r="HX38" i="75"/>
  <c r="HX39" i="75"/>
  <c r="HX40" i="75"/>
  <c r="HX41" i="75"/>
  <c r="HX42" i="75"/>
  <c r="HX43" i="75"/>
  <c r="HX44" i="75"/>
  <c r="HX45" i="75"/>
  <c r="HX46" i="75"/>
  <c r="HX47" i="75"/>
  <c r="L1159" i="93"/>
  <c r="HC13" i="75"/>
  <c r="HC14" i="75"/>
  <c r="HC15" i="75"/>
  <c r="HC16" i="75"/>
  <c r="HC17" i="75"/>
  <c r="HC20" i="75"/>
  <c r="HC21" i="75"/>
  <c r="HC22" i="75"/>
  <c r="HC23" i="75"/>
  <c r="HC27" i="75"/>
  <c r="HC28" i="75"/>
  <c r="HC29" i="75"/>
  <c r="HC30" i="75"/>
  <c r="HC31" i="75"/>
  <c r="HC32" i="75"/>
  <c r="HC33" i="75"/>
  <c r="HC34" i="75"/>
  <c r="HC35" i="75"/>
  <c r="HC36" i="75"/>
  <c r="HC37" i="75"/>
  <c r="HC38" i="75"/>
  <c r="HC39" i="75"/>
  <c r="HC40" i="75"/>
  <c r="HC41" i="75"/>
  <c r="HC42" i="75"/>
  <c r="HC43" i="75"/>
  <c r="HC44" i="75"/>
  <c r="HC45" i="75"/>
  <c r="HC46" i="75"/>
  <c r="HC47" i="75"/>
  <c r="HW13" i="75"/>
  <c r="HW14" i="75"/>
  <c r="HW15" i="75"/>
  <c r="HW16" i="75"/>
  <c r="HW17" i="75"/>
  <c r="HW20" i="75"/>
  <c r="HW21" i="75"/>
  <c r="HW22" i="75"/>
  <c r="HW23" i="75"/>
  <c r="HW27" i="75"/>
  <c r="HW28" i="75"/>
  <c r="HW29" i="75"/>
  <c r="HW30" i="75"/>
  <c r="HW31" i="75"/>
  <c r="HW32" i="75"/>
  <c r="HW33" i="75"/>
  <c r="HW34" i="75"/>
  <c r="HW35" i="75"/>
  <c r="HW36" i="75"/>
  <c r="HW37" i="75"/>
  <c r="HW38" i="75"/>
  <c r="HW39" i="75"/>
  <c r="HW40" i="75"/>
  <c r="HW41" i="75"/>
  <c r="HW42" i="75"/>
  <c r="HW43" i="75"/>
  <c r="HW44" i="75"/>
  <c r="HW45" i="75"/>
  <c r="HW46" i="75"/>
  <c r="HW47" i="75"/>
  <c r="L1158" i="93"/>
  <c r="HB13" i="75"/>
  <c r="HB14" i="75"/>
  <c r="HB15" i="75"/>
  <c r="HB16" i="75"/>
  <c r="HB17" i="75"/>
  <c r="HB20" i="75"/>
  <c r="HB21" i="75"/>
  <c r="HB22" i="75"/>
  <c r="HB23" i="75"/>
  <c r="HB27" i="75"/>
  <c r="HB28" i="75"/>
  <c r="HB29" i="75"/>
  <c r="HB30" i="75"/>
  <c r="HB31" i="75"/>
  <c r="HB32" i="75"/>
  <c r="HB33" i="75"/>
  <c r="HB34" i="75"/>
  <c r="HB35" i="75"/>
  <c r="HB36" i="75"/>
  <c r="HB37" i="75"/>
  <c r="HB38" i="75"/>
  <c r="HB39" i="75"/>
  <c r="HB40" i="75"/>
  <c r="HB41" i="75"/>
  <c r="HB42" i="75"/>
  <c r="HB43" i="75"/>
  <c r="HB44" i="75"/>
  <c r="HB45" i="75"/>
  <c r="HB46" i="75"/>
  <c r="HB47" i="75"/>
  <c r="HV13" i="75"/>
  <c r="HV14" i="75"/>
  <c r="HV15" i="75"/>
  <c r="HV16" i="75"/>
  <c r="HV17" i="75"/>
  <c r="HV20" i="75"/>
  <c r="HV21" i="75"/>
  <c r="HV22" i="75"/>
  <c r="HV23" i="75"/>
  <c r="HV27" i="75"/>
  <c r="HV28" i="75"/>
  <c r="HV29" i="75"/>
  <c r="HV30" i="75"/>
  <c r="HV31" i="75"/>
  <c r="HV32" i="75"/>
  <c r="HV33" i="75"/>
  <c r="HV34" i="75"/>
  <c r="HV35" i="75"/>
  <c r="HV36" i="75"/>
  <c r="HV37" i="75"/>
  <c r="HV38" i="75"/>
  <c r="HV39" i="75"/>
  <c r="HV40" i="75"/>
  <c r="HV41" i="75"/>
  <c r="HV42" i="75"/>
  <c r="HV43" i="75"/>
  <c r="HV44" i="75"/>
  <c r="HV45" i="75"/>
  <c r="HV46" i="75"/>
  <c r="HV47" i="75"/>
  <c r="L1157" i="93"/>
  <c r="HA13" i="75"/>
  <c r="HA14" i="75"/>
  <c r="HA15" i="75"/>
  <c r="HA16" i="75"/>
  <c r="HA17" i="75"/>
  <c r="HA20" i="75"/>
  <c r="HA21" i="75"/>
  <c r="HA22" i="75"/>
  <c r="HA23" i="75"/>
  <c r="HA27" i="75"/>
  <c r="HA28" i="75"/>
  <c r="HA29" i="75"/>
  <c r="HA30" i="75"/>
  <c r="HA31" i="75"/>
  <c r="HA32" i="75"/>
  <c r="HA33" i="75"/>
  <c r="HA34" i="75"/>
  <c r="HA35" i="75"/>
  <c r="HA36" i="75"/>
  <c r="HA37" i="75"/>
  <c r="HA38" i="75"/>
  <c r="HA39" i="75"/>
  <c r="HA40" i="75"/>
  <c r="HA41" i="75"/>
  <c r="HA42" i="75"/>
  <c r="HA43" i="75"/>
  <c r="HA44" i="75"/>
  <c r="HA45" i="75"/>
  <c r="HA46" i="75"/>
  <c r="HA47" i="75"/>
  <c r="HU13" i="75"/>
  <c r="HU14" i="75"/>
  <c r="HU15" i="75"/>
  <c r="HU16" i="75"/>
  <c r="HU17" i="75"/>
  <c r="HU20" i="75"/>
  <c r="HU21" i="75"/>
  <c r="HU22" i="75"/>
  <c r="HU23" i="75"/>
  <c r="HU27" i="75"/>
  <c r="HU28" i="75"/>
  <c r="HU29" i="75"/>
  <c r="HU30" i="75"/>
  <c r="HU31" i="75"/>
  <c r="HU32" i="75"/>
  <c r="HU33" i="75"/>
  <c r="HU34" i="75"/>
  <c r="HU35" i="75"/>
  <c r="HU36" i="75"/>
  <c r="HU37" i="75"/>
  <c r="HU38" i="75"/>
  <c r="HU39" i="75"/>
  <c r="HU40" i="75"/>
  <c r="HU41" i="75"/>
  <c r="HU42" i="75"/>
  <c r="HU43" i="75"/>
  <c r="HU44" i="75"/>
  <c r="HU45" i="75"/>
  <c r="HU46" i="75"/>
  <c r="HU47" i="75"/>
  <c r="L1156" i="93"/>
  <c r="GZ13" i="75"/>
  <c r="GZ14" i="75"/>
  <c r="GZ15" i="75"/>
  <c r="GZ16" i="75"/>
  <c r="GZ17" i="75"/>
  <c r="GZ20" i="75"/>
  <c r="GZ21" i="75"/>
  <c r="GZ22" i="75"/>
  <c r="GZ23" i="75"/>
  <c r="GZ27" i="75"/>
  <c r="GZ28" i="75"/>
  <c r="GZ29" i="75"/>
  <c r="GZ30" i="75"/>
  <c r="GZ31" i="75"/>
  <c r="GZ32" i="75"/>
  <c r="GZ33" i="75"/>
  <c r="GZ34" i="75"/>
  <c r="GZ35" i="75"/>
  <c r="GZ36" i="75"/>
  <c r="GZ37" i="75"/>
  <c r="GZ38" i="75"/>
  <c r="GZ39" i="75"/>
  <c r="GZ40" i="75"/>
  <c r="GZ41" i="75"/>
  <c r="GZ42" i="75"/>
  <c r="GZ43" i="75"/>
  <c r="GZ44" i="75"/>
  <c r="GZ45" i="75"/>
  <c r="GZ46" i="75"/>
  <c r="GZ47" i="75"/>
  <c r="HT13" i="75"/>
  <c r="HT14" i="75"/>
  <c r="HT15" i="75"/>
  <c r="HT16" i="75"/>
  <c r="HT17" i="75"/>
  <c r="HT20" i="75"/>
  <c r="HT21" i="75"/>
  <c r="HT22" i="75"/>
  <c r="HT23" i="75"/>
  <c r="HT27" i="75"/>
  <c r="HT28" i="75"/>
  <c r="HT29" i="75"/>
  <c r="HT30" i="75"/>
  <c r="HT31" i="75"/>
  <c r="HT32" i="75"/>
  <c r="HT33" i="75"/>
  <c r="HT34" i="75"/>
  <c r="HT35" i="75"/>
  <c r="HT36" i="75"/>
  <c r="HT37" i="75"/>
  <c r="HT38" i="75"/>
  <c r="HT39" i="75"/>
  <c r="HT40" i="75"/>
  <c r="HT41" i="75"/>
  <c r="HT42" i="75"/>
  <c r="HT43" i="75"/>
  <c r="HT44" i="75"/>
  <c r="HT45" i="75"/>
  <c r="HT46" i="75"/>
  <c r="HT47" i="75"/>
  <c r="L1153" i="93"/>
  <c r="HN13" i="75"/>
  <c r="HN14" i="75"/>
  <c r="HN15" i="75"/>
  <c r="HN16" i="75"/>
  <c r="HN17" i="75"/>
  <c r="HN20" i="75"/>
  <c r="HN21" i="75"/>
  <c r="HN22" i="75"/>
  <c r="HN23"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3" i="75"/>
  <c r="HM14" i="75"/>
  <c r="HM15" i="75"/>
  <c r="HM16" i="75"/>
  <c r="HM17" i="75"/>
  <c r="HM20" i="75"/>
  <c r="HM21" i="75"/>
  <c r="HM22" i="75"/>
  <c r="HM23" i="75"/>
  <c r="HM27" i="75"/>
  <c r="HM28" i="75"/>
  <c r="HM29" i="75"/>
  <c r="HM30" i="75"/>
  <c r="HM31" i="75"/>
  <c r="HM32" i="75"/>
  <c r="HM33" i="75"/>
  <c r="HM34" i="75"/>
  <c r="HM35" i="75"/>
  <c r="HM36" i="75"/>
  <c r="HM37" i="75"/>
  <c r="HM38" i="75"/>
  <c r="HM39" i="75"/>
  <c r="HM40" i="75"/>
  <c r="HM41" i="75"/>
  <c r="HM42" i="75"/>
  <c r="HM43" i="75"/>
  <c r="HM44" i="75"/>
  <c r="HM45" i="75"/>
  <c r="HM46" i="75"/>
  <c r="HM47" i="75"/>
  <c r="L1151" i="93"/>
  <c r="HL13" i="75"/>
  <c r="HL14" i="75"/>
  <c r="HL15" i="75"/>
  <c r="HL16" i="75"/>
  <c r="HL17" i="75"/>
  <c r="HL20" i="75"/>
  <c r="HL21" i="75"/>
  <c r="HL22" i="75"/>
  <c r="HL23" i="75"/>
  <c r="HL27" i="75"/>
  <c r="HL28" i="75"/>
  <c r="HL29" i="75"/>
  <c r="HL30" i="75"/>
  <c r="HL31" i="75"/>
  <c r="HL32" i="75"/>
  <c r="HL33" i="75"/>
  <c r="HL34" i="75"/>
  <c r="HL35" i="75"/>
  <c r="HL36" i="75"/>
  <c r="HL37" i="75"/>
  <c r="HL38" i="75"/>
  <c r="HL39" i="75"/>
  <c r="HL40" i="75"/>
  <c r="HL41" i="75"/>
  <c r="HL42" i="75"/>
  <c r="HL43" i="75"/>
  <c r="HL44" i="75"/>
  <c r="HL45" i="75"/>
  <c r="HL46" i="75"/>
  <c r="HL47" i="75"/>
  <c r="L1150" i="93"/>
  <c r="HK13" i="75"/>
  <c r="HK14" i="75"/>
  <c r="HK15" i="75"/>
  <c r="HK16" i="75"/>
  <c r="HK17" i="75"/>
  <c r="HK20" i="75"/>
  <c r="HK21" i="75"/>
  <c r="HK22" i="75"/>
  <c r="HK23" i="75"/>
  <c r="HK27" i="75"/>
  <c r="HK28" i="75"/>
  <c r="HK29" i="75"/>
  <c r="HK30" i="75"/>
  <c r="HK31" i="75"/>
  <c r="HK32" i="75"/>
  <c r="HK33" i="75"/>
  <c r="HK34" i="75"/>
  <c r="HK35" i="75"/>
  <c r="HK36" i="75"/>
  <c r="HK37" i="75"/>
  <c r="HK38" i="75"/>
  <c r="HK39" i="75"/>
  <c r="HK40" i="75"/>
  <c r="HK41" i="75"/>
  <c r="HK42" i="75"/>
  <c r="HK43" i="75"/>
  <c r="HK44" i="75"/>
  <c r="HK45" i="75"/>
  <c r="HK46" i="75"/>
  <c r="HK47" i="75"/>
  <c r="Q1149" i="93"/>
  <c r="P1149" i="93"/>
  <c r="L1149" i="93"/>
  <c r="HJ13" i="75"/>
  <c r="HJ14" i="75"/>
  <c r="HJ15" i="75"/>
  <c r="HJ16" i="75"/>
  <c r="HJ17" i="75"/>
  <c r="HJ20" i="75"/>
  <c r="HJ21" i="75"/>
  <c r="HJ22" i="75"/>
  <c r="HJ23" i="75"/>
  <c r="HJ27" i="75"/>
  <c r="HJ28" i="75"/>
  <c r="HJ29" i="75"/>
  <c r="HJ30" i="75"/>
  <c r="HJ31" i="75"/>
  <c r="HJ32" i="75"/>
  <c r="HJ33" i="75"/>
  <c r="HJ34" i="75"/>
  <c r="HJ35" i="75"/>
  <c r="HJ36" i="75"/>
  <c r="HJ37" i="75"/>
  <c r="HJ38" i="75"/>
  <c r="HJ39" i="75"/>
  <c r="HJ40" i="75"/>
  <c r="HJ41" i="75"/>
  <c r="HJ42" i="75"/>
  <c r="HJ43" i="75"/>
  <c r="HJ44" i="75"/>
  <c r="HJ45" i="75"/>
  <c r="HJ46" i="75"/>
  <c r="HJ47" i="75"/>
  <c r="L1146" i="93"/>
  <c r="GT13" i="75"/>
  <c r="GT14" i="75"/>
  <c r="GT15" i="75"/>
  <c r="GT16" i="75"/>
  <c r="GT17" i="75"/>
  <c r="GT20" i="75"/>
  <c r="GT21" i="75"/>
  <c r="GT22" i="75"/>
  <c r="GT23" i="75"/>
  <c r="GT27" i="75"/>
  <c r="GT28" i="75"/>
  <c r="GT29" i="75"/>
  <c r="GT30" i="75"/>
  <c r="GT31" i="75"/>
  <c r="GT32" i="75"/>
  <c r="GT33" i="75"/>
  <c r="GT34" i="75"/>
  <c r="GT35" i="75"/>
  <c r="GT36" i="75"/>
  <c r="GT37" i="75"/>
  <c r="GT38" i="75"/>
  <c r="GT39" i="75"/>
  <c r="GT40" i="75"/>
  <c r="GT41" i="75"/>
  <c r="GT42" i="75"/>
  <c r="GT43" i="75"/>
  <c r="GT44" i="75"/>
  <c r="GT45" i="75"/>
  <c r="GT46" i="75"/>
  <c r="GT47" i="75"/>
  <c r="GJ13" i="75"/>
  <c r="GJ14" i="75"/>
  <c r="GJ15" i="75"/>
  <c r="GJ16" i="75"/>
  <c r="GJ17" i="75"/>
  <c r="GJ20" i="75"/>
  <c r="GJ21" i="75"/>
  <c r="GJ22" i="75"/>
  <c r="GJ23" i="75"/>
  <c r="GJ27" i="75"/>
  <c r="GJ28" i="75"/>
  <c r="GJ29" i="75"/>
  <c r="GJ30" i="75"/>
  <c r="GJ31" i="75"/>
  <c r="GJ32" i="75"/>
  <c r="GJ33" i="75"/>
  <c r="GJ34" i="75"/>
  <c r="GJ35" i="75"/>
  <c r="GJ36" i="75"/>
  <c r="GJ37" i="75"/>
  <c r="GJ38" i="75"/>
  <c r="GJ39" i="75"/>
  <c r="GJ40" i="75"/>
  <c r="GJ41" i="75"/>
  <c r="GJ42" i="75"/>
  <c r="GJ43" i="75"/>
  <c r="GJ44" i="75"/>
  <c r="GJ45" i="75"/>
  <c r="GJ46" i="75"/>
  <c r="GJ47" i="75"/>
  <c r="L1145" i="93"/>
  <c r="GS13" i="75"/>
  <c r="GS14" i="75"/>
  <c r="GS15" i="75"/>
  <c r="GS16" i="75"/>
  <c r="GS17" i="75"/>
  <c r="GS20" i="75"/>
  <c r="GS21" i="75"/>
  <c r="GS22" i="75"/>
  <c r="GS23" i="75"/>
  <c r="GS27" i="75"/>
  <c r="GS28" i="75"/>
  <c r="GS29" i="75"/>
  <c r="GS30" i="75"/>
  <c r="GS31" i="75"/>
  <c r="GS32" i="75"/>
  <c r="GS33" i="75"/>
  <c r="GS34" i="75"/>
  <c r="GS35" i="75"/>
  <c r="GS36" i="75"/>
  <c r="GS37" i="75"/>
  <c r="GS38" i="75"/>
  <c r="GS39" i="75"/>
  <c r="GS40" i="75"/>
  <c r="GS41" i="75"/>
  <c r="GS42" i="75"/>
  <c r="GS43" i="75"/>
  <c r="GS44" i="75"/>
  <c r="GS45" i="75"/>
  <c r="GS46" i="75"/>
  <c r="GS47" i="75"/>
  <c r="GI13" i="75"/>
  <c r="GI14" i="75"/>
  <c r="GI15" i="75"/>
  <c r="GI16" i="75"/>
  <c r="GI17" i="75"/>
  <c r="GI20" i="75"/>
  <c r="GI21" i="75"/>
  <c r="GI22" i="75"/>
  <c r="GI23" i="75"/>
  <c r="GI27" i="75"/>
  <c r="GI28" i="75"/>
  <c r="GI29" i="75"/>
  <c r="GI30" i="75"/>
  <c r="GI31" i="75"/>
  <c r="GI32" i="75"/>
  <c r="GI33" i="75"/>
  <c r="GI34" i="75"/>
  <c r="GI35" i="75"/>
  <c r="GI36" i="75"/>
  <c r="GI37" i="75"/>
  <c r="GI38" i="75"/>
  <c r="GI39" i="75"/>
  <c r="GI40" i="75"/>
  <c r="GI41" i="75"/>
  <c r="GI42" i="75"/>
  <c r="GI43" i="75"/>
  <c r="GI44" i="75"/>
  <c r="GI45" i="75"/>
  <c r="GI46" i="75"/>
  <c r="GI47" i="75"/>
  <c r="L1144" i="93"/>
  <c r="GR13" i="75"/>
  <c r="GR14" i="75"/>
  <c r="GR15" i="75"/>
  <c r="GR16" i="75"/>
  <c r="GR17" i="75"/>
  <c r="GR20" i="75"/>
  <c r="GR21" i="75"/>
  <c r="GR22" i="75"/>
  <c r="GR23" i="75"/>
  <c r="GR27" i="75"/>
  <c r="GR28" i="75"/>
  <c r="GR29" i="75"/>
  <c r="GR30" i="75"/>
  <c r="GR31" i="75"/>
  <c r="GR32" i="75"/>
  <c r="GR33" i="75"/>
  <c r="GR34" i="75"/>
  <c r="GR35" i="75"/>
  <c r="GR36" i="75"/>
  <c r="GR37" i="75"/>
  <c r="GR38" i="75"/>
  <c r="GR39" i="75"/>
  <c r="GR40" i="75"/>
  <c r="GR41" i="75"/>
  <c r="GR42" i="75"/>
  <c r="GR43" i="75"/>
  <c r="GR44" i="75"/>
  <c r="GR45" i="75"/>
  <c r="GR46" i="75"/>
  <c r="GR47" i="75"/>
  <c r="GH13" i="75"/>
  <c r="GH14" i="75"/>
  <c r="GH15" i="75"/>
  <c r="GH16" i="75"/>
  <c r="GH17" i="75"/>
  <c r="GH20" i="75"/>
  <c r="GH21" i="75"/>
  <c r="GH22" i="75"/>
  <c r="GH23" i="75"/>
  <c r="GH27" i="75"/>
  <c r="GH28" i="75"/>
  <c r="GH29" i="75"/>
  <c r="GH30" i="75"/>
  <c r="GH31" i="75"/>
  <c r="GH32" i="75"/>
  <c r="GH33" i="75"/>
  <c r="GH34" i="75"/>
  <c r="GH35" i="75"/>
  <c r="GH36" i="75"/>
  <c r="GH37" i="75"/>
  <c r="GH38" i="75"/>
  <c r="GH39" i="75"/>
  <c r="GH40" i="75"/>
  <c r="GH41" i="75"/>
  <c r="GH42" i="75"/>
  <c r="GH43" i="75"/>
  <c r="GH44" i="75"/>
  <c r="GH45" i="75"/>
  <c r="GH46" i="75"/>
  <c r="GH47" i="75"/>
  <c r="L1143" i="93"/>
  <c r="GQ13" i="75"/>
  <c r="GQ14" i="75"/>
  <c r="GQ15" i="75"/>
  <c r="GQ16" i="75"/>
  <c r="GQ17" i="75"/>
  <c r="GQ20" i="75"/>
  <c r="GQ21" i="75"/>
  <c r="GQ22" i="75"/>
  <c r="GQ23" i="75"/>
  <c r="GQ27" i="75"/>
  <c r="GQ28" i="75"/>
  <c r="GQ29" i="75"/>
  <c r="GQ30" i="75"/>
  <c r="GQ31" i="75"/>
  <c r="GQ32" i="75"/>
  <c r="GQ33" i="75"/>
  <c r="GQ34" i="75"/>
  <c r="GQ35" i="75"/>
  <c r="GQ36" i="75"/>
  <c r="GQ37" i="75"/>
  <c r="GQ38" i="75"/>
  <c r="GQ39" i="75"/>
  <c r="GQ40" i="75"/>
  <c r="GQ41" i="75"/>
  <c r="GQ42" i="75"/>
  <c r="GQ43" i="75"/>
  <c r="GQ44" i="75"/>
  <c r="GQ45" i="75"/>
  <c r="GQ46" i="75"/>
  <c r="GQ47" i="75"/>
  <c r="GG13" i="75"/>
  <c r="GG14" i="75"/>
  <c r="GG15" i="75"/>
  <c r="GG16" i="75"/>
  <c r="GG17" i="75"/>
  <c r="GG20" i="75"/>
  <c r="GG21" i="75"/>
  <c r="GG22" i="75"/>
  <c r="GG23" i="75"/>
  <c r="GG27" i="75"/>
  <c r="GG28" i="75"/>
  <c r="GG29" i="75"/>
  <c r="GG30" i="75"/>
  <c r="GG31" i="75"/>
  <c r="GG32" i="75"/>
  <c r="GG33" i="75"/>
  <c r="GG34" i="75"/>
  <c r="GG35" i="75"/>
  <c r="GG36" i="75"/>
  <c r="GG37" i="75"/>
  <c r="GG38" i="75"/>
  <c r="GG39" i="75"/>
  <c r="GG40" i="75"/>
  <c r="GG41" i="75"/>
  <c r="GG42" i="75"/>
  <c r="GG43" i="75"/>
  <c r="GG44" i="75"/>
  <c r="GG45" i="75"/>
  <c r="GG46" i="75"/>
  <c r="GG47" i="75"/>
  <c r="L1142" i="93"/>
  <c r="GP13" i="75"/>
  <c r="GP14" i="75"/>
  <c r="GP15" i="75"/>
  <c r="GP16" i="75"/>
  <c r="GP17" i="75"/>
  <c r="GP20" i="75"/>
  <c r="GP21" i="75"/>
  <c r="GP22" i="75"/>
  <c r="GP23" i="75"/>
  <c r="GP27" i="75"/>
  <c r="GP28" i="75"/>
  <c r="GP29" i="75"/>
  <c r="GP30" i="75"/>
  <c r="GP31" i="75"/>
  <c r="GP32" i="75"/>
  <c r="GP33" i="75"/>
  <c r="GP34" i="75"/>
  <c r="GP35" i="75"/>
  <c r="GP36" i="75"/>
  <c r="GP37" i="75"/>
  <c r="GP38" i="75"/>
  <c r="GP39" i="75"/>
  <c r="GP40" i="75"/>
  <c r="GP41" i="75"/>
  <c r="GP42" i="75"/>
  <c r="GP43" i="75"/>
  <c r="GP44" i="75"/>
  <c r="GP45" i="75"/>
  <c r="GP46" i="75"/>
  <c r="GP47" i="75"/>
  <c r="GF13" i="75"/>
  <c r="GF14" i="75"/>
  <c r="GF15" i="75"/>
  <c r="GF16" i="75"/>
  <c r="GF17" i="75"/>
  <c r="GF20" i="75"/>
  <c r="GF21" i="75"/>
  <c r="GF22" i="75"/>
  <c r="GF23" i="75"/>
  <c r="GF27" i="75"/>
  <c r="GF28" i="75"/>
  <c r="GF29" i="75"/>
  <c r="GF30" i="75"/>
  <c r="GF31" i="75"/>
  <c r="GF32" i="75"/>
  <c r="GF33" i="75"/>
  <c r="GF34" i="75"/>
  <c r="GF35" i="75"/>
  <c r="GF36" i="75"/>
  <c r="GF37" i="75"/>
  <c r="GF38" i="75"/>
  <c r="GF39" i="75"/>
  <c r="GF40" i="75"/>
  <c r="GF41" i="75"/>
  <c r="GF42" i="75"/>
  <c r="GF43" i="75"/>
  <c r="GF44" i="75"/>
  <c r="GF45" i="75"/>
  <c r="GF46" i="75"/>
  <c r="GF47" i="75"/>
  <c r="L1139" i="93"/>
  <c r="FF13" i="75"/>
  <c r="FF14" i="75"/>
  <c r="FF15" i="75"/>
  <c r="FF16" i="75"/>
  <c r="FF17" i="75"/>
  <c r="FF20" i="75"/>
  <c r="FF21" i="75"/>
  <c r="FF22" i="75"/>
  <c r="FF23" i="75"/>
  <c r="FF27" i="75"/>
  <c r="FF28" i="75"/>
  <c r="FF29" i="75"/>
  <c r="FF30" i="75"/>
  <c r="FF31" i="75"/>
  <c r="FF32" i="75"/>
  <c r="FF33" i="75"/>
  <c r="FF34" i="75"/>
  <c r="FF35" i="75"/>
  <c r="FF36" i="75"/>
  <c r="FF37" i="75"/>
  <c r="FF38" i="75"/>
  <c r="FF39" i="75"/>
  <c r="FF40" i="75"/>
  <c r="FF41" i="75"/>
  <c r="FF42" i="75"/>
  <c r="FF43" i="75"/>
  <c r="FF44" i="75"/>
  <c r="FF45" i="75"/>
  <c r="FF46" i="75"/>
  <c r="FF47" i="75"/>
  <c r="FZ13" i="75"/>
  <c r="FZ14" i="75"/>
  <c r="FZ15" i="75"/>
  <c r="FZ16" i="75"/>
  <c r="FZ17" i="75"/>
  <c r="FZ20" i="75"/>
  <c r="FZ21" i="75"/>
  <c r="FZ22" i="75"/>
  <c r="FZ23" i="75"/>
  <c r="FZ27" i="75"/>
  <c r="FZ28" i="75"/>
  <c r="FZ29" i="75"/>
  <c r="FZ30" i="75"/>
  <c r="FZ31" i="75"/>
  <c r="FZ32" i="75"/>
  <c r="FZ33" i="75"/>
  <c r="FZ34" i="75"/>
  <c r="FZ35" i="75"/>
  <c r="FZ36" i="75"/>
  <c r="FZ37" i="75"/>
  <c r="FZ38" i="75"/>
  <c r="FZ39" i="75"/>
  <c r="FZ40" i="75"/>
  <c r="FZ41" i="75"/>
  <c r="FZ42" i="75"/>
  <c r="FZ43" i="75"/>
  <c r="FZ44" i="75"/>
  <c r="FZ45" i="75"/>
  <c r="FZ46" i="75"/>
  <c r="FZ47" i="75"/>
  <c r="FP13" i="75"/>
  <c r="FP14" i="75"/>
  <c r="FP15" i="75"/>
  <c r="FP16" i="75"/>
  <c r="FP17" i="75"/>
  <c r="FP20" i="75"/>
  <c r="FP21" i="75"/>
  <c r="FP22" i="75"/>
  <c r="FP23" i="75"/>
  <c r="FP27" i="75"/>
  <c r="FP28" i="75"/>
  <c r="FP29" i="75"/>
  <c r="FP30" i="75"/>
  <c r="FP31" i="75"/>
  <c r="FP32" i="75"/>
  <c r="FP33" i="75"/>
  <c r="FP34" i="75"/>
  <c r="FP35" i="75"/>
  <c r="FP36" i="75"/>
  <c r="FP37" i="75"/>
  <c r="FP38" i="75"/>
  <c r="FP39" i="75"/>
  <c r="FP40" i="75"/>
  <c r="FP41" i="75"/>
  <c r="FP42" i="75"/>
  <c r="FP43" i="75"/>
  <c r="FP44" i="75"/>
  <c r="FP45" i="75"/>
  <c r="FP46" i="75"/>
  <c r="FP47" i="75"/>
  <c r="L1138" i="93"/>
  <c r="FE13" i="75"/>
  <c r="FE14" i="75"/>
  <c r="FE15" i="75"/>
  <c r="FE16" i="75"/>
  <c r="FE17" i="75"/>
  <c r="FE20" i="75"/>
  <c r="FE21" i="75"/>
  <c r="FE22" i="75"/>
  <c r="FE23" i="75"/>
  <c r="FE27" i="75"/>
  <c r="FE28" i="75"/>
  <c r="FE29" i="75"/>
  <c r="FE30" i="75"/>
  <c r="FE31" i="75"/>
  <c r="FE32" i="75"/>
  <c r="FE33" i="75"/>
  <c r="FE34" i="75"/>
  <c r="FE35" i="75"/>
  <c r="FE36" i="75"/>
  <c r="FE37" i="75"/>
  <c r="FE38" i="75"/>
  <c r="FE39" i="75"/>
  <c r="FE40" i="75"/>
  <c r="FE41" i="75"/>
  <c r="FE42" i="75"/>
  <c r="FE43" i="75"/>
  <c r="FE44" i="75"/>
  <c r="FE45" i="75"/>
  <c r="FE46" i="75"/>
  <c r="FE47" i="75"/>
  <c r="FY13" i="75"/>
  <c r="FY14" i="75"/>
  <c r="FY15" i="75"/>
  <c r="FY16" i="75"/>
  <c r="FY17" i="75"/>
  <c r="FY20" i="75"/>
  <c r="FY21" i="75"/>
  <c r="FY22" i="75"/>
  <c r="FY23" i="75"/>
  <c r="FY27" i="75"/>
  <c r="FY28" i="75"/>
  <c r="FY29" i="75"/>
  <c r="FY30" i="75"/>
  <c r="FY31" i="75"/>
  <c r="FY32" i="75"/>
  <c r="FY33" i="75"/>
  <c r="FY34" i="75"/>
  <c r="FY35" i="75"/>
  <c r="FY36" i="75"/>
  <c r="FY37" i="75"/>
  <c r="FY38" i="75"/>
  <c r="FY39" i="75"/>
  <c r="FY40" i="75"/>
  <c r="FY41" i="75"/>
  <c r="FY42" i="75"/>
  <c r="FY43" i="75"/>
  <c r="FY44" i="75"/>
  <c r="FY45" i="75"/>
  <c r="FY46" i="75"/>
  <c r="FY47" i="75"/>
  <c r="FO13" i="75"/>
  <c r="FO14" i="75"/>
  <c r="FO15" i="75"/>
  <c r="FO16" i="75"/>
  <c r="FO17" i="75"/>
  <c r="FO20" i="75"/>
  <c r="FO21" i="75"/>
  <c r="FO22" i="75"/>
  <c r="FO23" i="75"/>
  <c r="FO27" i="75"/>
  <c r="FO28" i="75"/>
  <c r="FO29" i="75"/>
  <c r="FO30" i="75"/>
  <c r="FO31" i="75"/>
  <c r="FO32" i="75"/>
  <c r="FO33" i="75"/>
  <c r="FO34" i="75"/>
  <c r="FO35" i="75"/>
  <c r="FO36" i="75"/>
  <c r="FO37" i="75"/>
  <c r="FO38" i="75"/>
  <c r="FO39" i="75"/>
  <c r="FO40" i="75"/>
  <c r="FO41" i="75"/>
  <c r="FO42" i="75"/>
  <c r="FO43" i="75"/>
  <c r="FO44" i="75"/>
  <c r="FO45" i="75"/>
  <c r="FO46" i="75"/>
  <c r="FO47" i="75"/>
  <c r="L1137" i="93"/>
  <c r="FD13" i="75"/>
  <c r="FD14" i="75"/>
  <c r="FD15" i="75"/>
  <c r="FD16" i="75"/>
  <c r="FD17" i="75"/>
  <c r="FD20" i="75"/>
  <c r="FD21" i="75"/>
  <c r="FD22" i="75"/>
  <c r="FD23" i="75"/>
  <c r="FD27" i="75"/>
  <c r="FD28" i="75"/>
  <c r="FD29" i="75"/>
  <c r="FD30" i="75"/>
  <c r="FD31" i="75"/>
  <c r="FD32" i="75"/>
  <c r="FD33" i="75"/>
  <c r="FD34" i="75"/>
  <c r="FD35" i="75"/>
  <c r="FD36" i="75"/>
  <c r="FD37" i="75"/>
  <c r="FD38" i="75"/>
  <c r="FD39" i="75"/>
  <c r="FD40" i="75"/>
  <c r="FD41" i="75"/>
  <c r="FD42" i="75"/>
  <c r="FD43" i="75"/>
  <c r="FD44" i="75"/>
  <c r="FD45" i="75"/>
  <c r="FD46" i="75"/>
  <c r="FD47" i="75"/>
  <c r="FX13" i="75"/>
  <c r="FX14" i="75"/>
  <c r="FX15" i="75"/>
  <c r="FX16" i="75"/>
  <c r="FX17" i="75"/>
  <c r="FX20" i="75"/>
  <c r="FX21" i="75"/>
  <c r="FX22" i="75"/>
  <c r="FX23" i="75"/>
  <c r="FX27" i="75"/>
  <c r="FX28" i="75"/>
  <c r="FX29" i="75"/>
  <c r="FX30" i="75"/>
  <c r="FX31" i="75"/>
  <c r="FX32" i="75"/>
  <c r="FX33" i="75"/>
  <c r="FX34" i="75"/>
  <c r="FX35" i="75"/>
  <c r="FX36" i="75"/>
  <c r="FX37" i="75"/>
  <c r="FX38" i="75"/>
  <c r="FX39" i="75"/>
  <c r="FX40" i="75"/>
  <c r="FX41" i="75"/>
  <c r="FX42" i="75"/>
  <c r="FX43" i="75"/>
  <c r="FX44" i="75"/>
  <c r="FX45" i="75"/>
  <c r="FX46" i="75"/>
  <c r="FX47" i="75"/>
  <c r="FN13" i="75"/>
  <c r="FN14" i="75"/>
  <c r="FN15" i="75"/>
  <c r="FN16" i="75"/>
  <c r="FN17" i="75"/>
  <c r="FN20" i="75"/>
  <c r="FN21" i="75"/>
  <c r="FN22" i="75"/>
  <c r="FN23" i="75"/>
  <c r="FN27" i="75"/>
  <c r="FN28" i="75"/>
  <c r="FN29" i="75"/>
  <c r="FN30" i="75"/>
  <c r="FN31" i="75"/>
  <c r="FN32" i="75"/>
  <c r="FN33" i="75"/>
  <c r="FN34" i="75"/>
  <c r="FN35" i="75"/>
  <c r="FN36" i="75"/>
  <c r="FN37" i="75"/>
  <c r="FN38" i="75"/>
  <c r="FN39" i="75"/>
  <c r="FN40" i="75"/>
  <c r="FN41" i="75"/>
  <c r="FN42" i="75"/>
  <c r="FN43" i="75"/>
  <c r="FN44" i="75"/>
  <c r="FN45" i="75"/>
  <c r="FN46" i="75"/>
  <c r="FN47" i="75"/>
  <c r="L1136" i="93"/>
  <c r="FC13" i="75"/>
  <c r="FC14" i="75"/>
  <c r="FC15" i="75"/>
  <c r="FC16" i="75"/>
  <c r="FC17" i="75"/>
  <c r="FC20" i="75"/>
  <c r="FC21" i="75"/>
  <c r="FC22" i="75"/>
  <c r="FC23" i="75"/>
  <c r="FC27" i="75"/>
  <c r="FC28" i="75"/>
  <c r="FC29" i="75"/>
  <c r="FC30" i="75"/>
  <c r="FC31" i="75"/>
  <c r="FC32" i="75"/>
  <c r="FC33" i="75"/>
  <c r="FC34" i="75"/>
  <c r="FC35" i="75"/>
  <c r="FC36" i="75"/>
  <c r="FC37" i="75"/>
  <c r="FC38" i="75"/>
  <c r="FC39" i="75"/>
  <c r="FC40" i="75"/>
  <c r="FC41" i="75"/>
  <c r="FC42" i="75"/>
  <c r="FC43" i="75"/>
  <c r="FC44" i="75"/>
  <c r="FC45" i="75"/>
  <c r="FC46" i="75"/>
  <c r="FC47" i="75"/>
  <c r="FW13" i="75"/>
  <c r="FW14" i="75"/>
  <c r="FW15" i="75"/>
  <c r="FW16" i="75"/>
  <c r="FW17" i="75"/>
  <c r="FW20" i="75"/>
  <c r="FW21" i="75"/>
  <c r="FW22" i="75"/>
  <c r="FW23" i="75"/>
  <c r="FW27" i="75"/>
  <c r="FW28" i="75"/>
  <c r="FW29" i="75"/>
  <c r="FW30" i="75"/>
  <c r="FW31" i="75"/>
  <c r="FW32" i="75"/>
  <c r="FW33" i="75"/>
  <c r="FW34" i="75"/>
  <c r="FW35" i="75"/>
  <c r="FW36" i="75"/>
  <c r="FW37" i="75"/>
  <c r="FW38" i="75"/>
  <c r="FW39" i="75"/>
  <c r="FW40" i="75"/>
  <c r="FW41" i="75"/>
  <c r="FW42" i="75"/>
  <c r="FW43" i="75"/>
  <c r="FW44" i="75"/>
  <c r="FW45" i="75"/>
  <c r="FW46" i="75"/>
  <c r="FW47" i="75"/>
  <c r="FM13" i="75"/>
  <c r="FM14" i="75"/>
  <c r="FM15" i="75"/>
  <c r="FM16" i="75"/>
  <c r="FM17" i="75"/>
  <c r="FM20" i="75"/>
  <c r="FM21" i="75"/>
  <c r="FM22" i="75"/>
  <c r="FM23" i="75"/>
  <c r="FM27" i="75"/>
  <c r="FM28" i="75"/>
  <c r="FM29" i="75"/>
  <c r="FM30" i="75"/>
  <c r="FM31" i="75"/>
  <c r="FM32" i="75"/>
  <c r="FM33" i="75"/>
  <c r="FM34" i="75"/>
  <c r="FM35" i="75"/>
  <c r="FM36" i="75"/>
  <c r="FM37" i="75"/>
  <c r="FM38" i="75"/>
  <c r="FM39" i="75"/>
  <c r="FM40" i="75"/>
  <c r="FM41" i="75"/>
  <c r="FM42" i="75"/>
  <c r="FM43" i="75"/>
  <c r="FM44" i="75"/>
  <c r="FM45" i="75"/>
  <c r="FM46" i="75"/>
  <c r="FM47" i="75"/>
  <c r="L1135" i="93"/>
  <c r="FB13" i="75"/>
  <c r="FB14" i="75"/>
  <c r="FB15" i="75"/>
  <c r="FB16" i="75"/>
  <c r="FB17" i="75"/>
  <c r="FB20" i="75"/>
  <c r="FB21" i="75"/>
  <c r="FB22" i="75"/>
  <c r="FB23" i="75"/>
  <c r="FB27" i="75"/>
  <c r="FB28" i="75"/>
  <c r="FB29" i="75"/>
  <c r="FB30" i="75"/>
  <c r="FB31" i="75"/>
  <c r="FB32" i="75"/>
  <c r="FB33" i="75"/>
  <c r="FB34" i="75"/>
  <c r="FB35" i="75"/>
  <c r="FB36" i="75"/>
  <c r="FB37" i="75"/>
  <c r="FB38" i="75"/>
  <c r="FB39" i="75"/>
  <c r="FB40" i="75"/>
  <c r="FB41" i="75"/>
  <c r="FB42" i="75"/>
  <c r="FB43" i="75"/>
  <c r="FB44" i="75"/>
  <c r="FB45" i="75"/>
  <c r="FB46" i="75"/>
  <c r="FB47" i="75"/>
  <c r="FV13" i="75"/>
  <c r="FV14" i="75"/>
  <c r="FV15" i="75"/>
  <c r="FV16" i="75"/>
  <c r="FV17" i="75"/>
  <c r="FV20" i="75"/>
  <c r="FV21" i="75"/>
  <c r="FV22" i="75"/>
  <c r="FV23" i="75"/>
  <c r="FV27" i="75"/>
  <c r="FV28" i="75"/>
  <c r="FV29" i="75"/>
  <c r="FV30" i="75"/>
  <c r="FV31" i="75"/>
  <c r="FV32" i="75"/>
  <c r="FV33" i="75"/>
  <c r="FV34" i="75"/>
  <c r="FV35" i="75"/>
  <c r="FV36" i="75"/>
  <c r="FV37" i="75"/>
  <c r="FV38" i="75"/>
  <c r="FV39" i="75"/>
  <c r="FV40" i="75"/>
  <c r="FV41" i="75"/>
  <c r="FV42" i="75"/>
  <c r="FV43" i="75"/>
  <c r="FV44" i="75"/>
  <c r="FV45" i="75"/>
  <c r="FV46" i="75"/>
  <c r="FV47" i="75"/>
  <c r="FL13" i="75"/>
  <c r="FL14" i="75"/>
  <c r="FL15" i="75"/>
  <c r="FL16" i="75"/>
  <c r="FL17" i="75"/>
  <c r="FL20" i="75"/>
  <c r="FL21" i="75"/>
  <c r="FL22" i="75"/>
  <c r="FL23" i="75"/>
  <c r="FL27" i="75"/>
  <c r="FL28" i="75"/>
  <c r="FL29" i="75"/>
  <c r="FL30" i="75"/>
  <c r="FL31" i="75"/>
  <c r="FL32" i="75"/>
  <c r="FL33" i="75"/>
  <c r="FL34" i="75"/>
  <c r="FL35" i="75"/>
  <c r="FL36" i="75"/>
  <c r="FL37" i="75"/>
  <c r="FL38" i="75"/>
  <c r="FL39" i="75"/>
  <c r="FL40" i="75"/>
  <c r="FL41" i="75"/>
  <c r="FL42" i="75"/>
  <c r="FL43" i="75"/>
  <c r="FL44" i="75"/>
  <c r="FL45" i="75"/>
  <c r="FL46" i="75"/>
  <c r="FL47" i="75"/>
  <c r="A1095" i="93"/>
  <c r="K1087" i="93"/>
  <c r="J1087" i="93"/>
  <c r="I1087" i="93"/>
  <c r="H1087" i="93"/>
  <c r="G1087" i="93"/>
  <c r="F1087" i="93"/>
  <c r="E1087" i="93"/>
  <c r="D1087" i="93"/>
  <c r="C1087" i="93"/>
  <c r="B1087" i="93"/>
  <c r="A1087" i="93"/>
  <c r="F1071" i="93"/>
  <c r="E1071" i="93"/>
  <c r="D1071" i="93"/>
  <c r="C1071" i="93"/>
  <c r="B1071" i="93"/>
  <c r="F114" i="74"/>
  <c r="F1070" i="93" s="1"/>
  <c r="F1077" i="93"/>
  <c r="E114" i="74"/>
  <c r="E1070" i="93" s="1"/>
  <c r="E1077" i="93"/>
  <c r="D114" i="74"/>
  <c r="D1070" i="93" s="1"/>
  <c r="D1077" i="93" s="1"/>
  <c r="D112" i="74"/>
  <c r="D1068" i="93" s="1"/>
  <c r="D113" i="74"/>
  <c r="D1069" i="93" s="1"/>
  <c r="D1076" i="93" s="1"/>
  <c r="C114" i="74"/>
  <c r="C1070" i="93" s="1"/>
  <c r="C1077" i="93"/>
  <c r="B114" i="74"/>
  <c r="B1070" i="93" s="1"/>
  <c r="B1077" i="93" s="1"/>
  <c r="E113" i="74"/>
  <c r="E1069" i="93" s="1"/>
  <c r="E1076" i="93"/>
  <c r="F112" i="74"/>
  <c r="F1068" i="93" s="1"/>
  <c r="E112" i="74"/>
  <c r="E1068" i="93"/>
  <c r="C112" i="74"/>
  <c r="C1068" i="93" s="1"/>
  <c r="B112" i="74"/>
  <c r="B1068" i="93" s="1"/>
  <c r="F127" i="74"/>
  <c r="F1083" i="93" s="1"/>
  <c r="E127" i="74"/>
  <c r="E1083" i="93" s="1"/>
  <c r="D127" i="74"/>
  <c r="D1083" i="93"/>
  <c r="C127" i="74"/>
  <c r="C1083" i="93" s="1"/>
  <c r="B127" i="74"/>
  <c r="B1083" i="93"/>
  <c r="F126" i="74"/>
  <c r="F1082" i="93" s="1"/>
  <c r="E126" i="74"/>
  <c r="E1082" i="93"/>
  <c r="D126" i="74"/>
  <c r="D1082" i="93" s="1"/>
  <c r="C126" i="74"/>
  <c r="C1082" i="93"/>
  <c r="B126" i="74"/>
  <c r="B1082" i="93" s="1"/>
  <c r="K84" i="74"/>
  <c r="K1040" i="93"/>
  <c r="J84" i="74"/>
  <c r="J1040" i="93" s="1"/>
  <c r="I84" i="74"/>
  <c r="I1040" i="93" s="1"/>
  <c r="H84" i="74"/>
  <c r="H1040" i="93"/>
  <c r="G84" i="74"/>
  <c r="G1040" i="93" s="1"/>
  <c r="F84" i="74"/>
  <c r="E84" i="74"/>
  <c r="E1040" i="93"/>
  <c r="D84" i="74"/>
  <c r="D1040" i="93" s="1"/>
  <c r="C84" i="74"/>
  <c r="C1040" i="93" s="1"/>
  <c r="B84" i="74"/>
  <c r="K54" i="74"/>
  <c r="K1010" i="93" s="1"/>
  <c r="J54" i="74"/>
  <c r="J1010" i="93" s="1"/>
  <c r="I54" i="74"/>
  <c r="H54" i="74"/>
  <c r="G54" i="74"/>
  <c r="G1010" i="93" s="1"/>
  <c r="C83" i="74"/>
  <c r="K99" i="74"/>
  <c r="K1055" i="93"/>
  <c r="J99" i="74"/>
  <c r="J1055" i="93" s="1"/>
  <c r="I99" i="74"/>
  <c r="I1055" i="93"/>
  <c r="H99" i="74"/>
  <c r="H1055" i="93" s="1"/>
  <c r="G99" i="74"/>
  <c r="G1055" i="93"/>
  <c r="F99" i="74"/>
  <c r="F1055" i="93" s="1"/>
  <c r="E99" i="74"/>
  <c r="E1055" i="93" s="1"/>
  <c r="D99" i="74"/>
  <c r="D1055" i="93" s="1"/>
  <c r="C99" i="74"/>
  <c r="C1055" i="93"/>
  <c r="B99" i="74"/>
  <c r="B1055" i="93" s="1"/>
  <c r="K98" i="74"/>
  <c r="K1054" i="93"/>
  <c r="J98" i="74"/>
  <c r="J1054" i="93" s="1"/>
  <c r="I98" i="74"/>
  <c r="I1054" i="93" s="1"/>
  <c r="H98" i="74"/>
  <c r="H1054" i="93" s="1"/>
  <c r="G98" i="74"/>
  <c r="G1054" i="93" s="1"/>
  <c r="F98" i="74"/>
  <c r="F1054" i="93" s="1"/>
  <c r="E98" i="74"/>
  <c r="E1054" i="93"/>
  <c r="D98" i="74"/>
  <c r="D1054" i="93" s="1"/>
  <c r="C98" i="74"/>
  <c r="C1054" i="93" s="1"/>
  <c r="B98" i="74"/>
  <c r="B1054" i="93" s="1"/>
  <c r="K71" i="74"/>
  <c r="K1027" i="93" s="1"/>
  <c r="J71" i="74"/>
  <c r="J1027" i="93" s="1"/>
  <c r="I71" i="74"/>
  <c r="I1027" i="93" s="1"/>
  <c r="H71" i="74"/>
  <c r="H1027" i="93" s="1"/>
  <c r="K70" i="74"/>
  <c r="K1026" i="93"/>
  <c r="J70" i="74"/>
  <c r="J1026" i="93" s="1"/>
  <c r="I70" i="74"/>
  <c r="I1026" i="93" s="1"/>
  <c r="H70" i="74"/>
  <c r="H1026" i="93" s="1"/>
  <c r="G70" i="74"/>
  <c r="G1026" i="93" s="1"/>
  <c r="F70" i="74"/>
  <c r="F1026" i="93" s="1"/>
  <c r="E70" i="74"/>
  <c r="E1026" i="93" s="1"/>
  <c r="D70" i="74"/>
  <c r="D1026" i="93" s="1"/>
  <c r="C70" i="74"/>
  <c r="C1026" i="93"/>
  <c r="B70" i="74"/>
  <c r="B1026" i="93" s="1"/>
  <c r="K69" i="74"/>
  <c r="K1025" i="93" s="1"/>
  <c r="J69" i="74"/>
  <c r="J1025" i="93" s="1"/>
  <c r="I69" i="74"/>
  <c r="I1025" i="93" s="1"/>
  <c r="H69" i="74"/>
  <c r="H1025" i="93" s="1"/>
  <c r="G69" i="74"/>
  <c r="G1025" i="93" s="1"/>
  <c r="F69" i="74"/>
  <c r="F1025" i="93" s="1"/>
  <c r="E69" i="74"/>
  <c r="E1025" i="93" s="1"/>
  <c r="D69" i="74"/>
  <c r="D1025" i="93" s="1"/>
  <c r="C69" i="74"/>
  <c r="C1025" i="93" s="1"/>
  <c r="B69" i="74"/>
  <c r="B1025" i="93" s="1"/>
  <c r="C39" i="74"/>
  <c r="C995" i="93" s="1"/>
  <c r="D39" i="74"/>
  <c r="D995" i="93" s="1"/>
  <c r="E39" i="74"/>
  <c r="E995" i="93" s="1"/>
  <c r="F39" i="74"/>
  <c r="F995" i="93" s="1"/>
  <c r="G39" i="74"/>
  <c r="G995" i="93" s="1"/>
  <c r="H39" i="74"/>
  <c r="H995" i="93" s="1"/>
  <c r="I39" i="74"/>
  <c r="I995" i="93" s="1"/>
  <c r="J39" i="74"/>
  <c r="J995" i="93" s="1"/>
  <c r="K39" i="74"/>
  <c r="K995" i="93"/>
  <c r="C40" i="74"/>
  <c r="C996" i="93" s="1"/>
  <c r="D40" i="74"/>
  <c r="D996" i="93" s="1"/>
  <c r="E40" i="74"/>
  <c r="E996" i="93" s="1"/>
  <c r="F40" i="74"/>
  <c r="F996" i="93" s="1"/>
  <c r="G40" i="74"/>
  <c r="G996" i="93" s="1"/>
  <c r="H40" i="74"/>
  <c r="H996" i="93"/>
  <c r="I40" i="74"/>
  <c r="I996" i="93" s="1"/>
  <c r="J40" i="74"/>
  <c r="J996" i="93"/>
  <c r="K40" i="74"/>
  <c r="K996" i="93" s="1"/>
  <c r="B39" i="74"/>
  <c r="B995" i="93" s="1"/>
  <c r="B40" i="74"/>
  <c r="B996" i="93" s="1"/>
  <c r="K1043" i="93"/>
  <c r="J1043" i="93"/>
  <c r="I1043" i="93"/>
  <c r="H1043" i="93"/>
  <c r="G1043" i="93"/>
  <c r="F1043" i="93"/>
  <c r="E1043" i="93"/>
  <c r="D1043" i="93"/>
  <c r="C1043" i="93"/>
  <c r="B1043" i="93"/>
  <c r="K86" i="74"/>
  <c r="K1042" i="93" s="1"/>
  <c r="K1049" i="93" s="1"/>
  <c r="J86" i="74"/>
  <c r="J1042" i="93" s="1"/>
  <c r="J1049" i="93" s="1"/>
  <c r="I86" i="74"/>
  <c r="I1042" i="93" s="1"/>
  <c r="I1049" i="93" s="1"/>
  <c r="H86" i="74"/>
  <c r="H1042" i="93"/>
  <c r="H1049" i="93" s="1"/>
  <c r="G86" i="74"/>
  <c r="G1042" i="93" s="1"/>
  <c r="G1049" i="93"/>
  <c r="F86" i="74"/>
  <c r="F1042" i="93" s="1"/>
  <c r="F1049" i="93" s="1"/>
  <c r="E86" i="74"/>
  <c r="E1042" i="93" s="1"/>
  <c r="E1049" i="93" s="1"/>
  <c r="D86" i="74"/>
  <c r="D1042" i="93" s="1"/>
  <c r="D1049" i="93" s="1"/>
  <c r="C86" i="74"/>
  <c r="C1042" i="93" s="1"/>
  <c r="C1049" i="93"/>
  <c r="B86" i="74"/>
  <c r="B1042" i="93" s="1"/>
  <c r="B1049" i="93" s="1"/>
  <c r="I85" i="74"/>
  <c r="I1041" i="93" s="1"/>
  <c r="I1048" i="93" s="1"/>
  <c r="H85" i="74"/>
  <c r="H1041" i="93" s="1"/>
  <c r="H1048" i="93" s="1"/>
  <c r="F1040" i="93"/>
  <c r="B1040" i="93"/>
  <c r="K1015" i="93"/>
  <c r="J1015" i="93"/>
  <c r="I1015" i="93"/>
  <c r="H1015" i="93"/>
  <c r="G1015" i="93"/>
  <c r="F1015" i="93"/>
  <c r="E1015" i="93"/>
  <c r="D1015" i="93"/>
  <c r="C1015" i="93"/>
  <c r="B1015" i="93"/>
  <c r="K1013" i="93"/>
  <c r="J1013" i="93"/>
  <c r="I1013" i="93"/>
  <c r="H1013" i="93"/>
  <c r="G1013" i="93"/>
  <c r="F1013" i="93"/>
  <c r="E1013" i="93"/>
  <c r="D1013" i="93"/>
  <c r="C1013" i="93"/>
  <c r="B1013" i="93"/>
  <c r="K56" i="74"/>
  <c r="K1012" i="93" s="1"/>
  <c r="K1020" i="93" s="1"/>
  <c r="J56" i="74"/>
  <c r="J1012" i="93" s="1"/>
  <c r="J1020" i="93" s="1"/>
  <c r="I56" i="74"/>
  <c r="I1012" i="93" s="1"/>
  <c r="I1020" i="93" s="1"/>
  <c r="H56" i="74"/>
  <c r="H1012" i="93" s="1"/>
  <c r="H1020" i="93" s="1"/>
  <c r="G56" i="74"/>
  <c r="G1012" i="93" s="1"/>
  <c r="G1020" i="93" s="1"/>
  <c r="E1012" i="93"/>
  <c r="E1020" i="93"/>
  <c r="I1010" i="93"/>
  <c r="C983" i="93"/>
  <c r="D983" i="93"/>
  <c r="E983" i="93"/>
  <c r="F983" i="93"/>
  <c r="G983" i="93"/>
  <c r="H983" i="93"/>
  <c r="I983" i="93"/>
  <c r="J983" i="93"/>
  <c r="K983" i="93"/>
  <c r="C984" i="93"/>
  <c r="C985" i="93"/>
  <c r="D985" i="93"/>
  <c r="E985" i="93"/>
  <c r="F985" i="93"/>
  <c r="G985" i="93"/>
  <c r="H985" i="93"/>
  <c r="J985" i="93"/>
  <c r="K985" i="93"/>
  <c r="B985" i="93"/>
  <c r="B983" i="93"/>
  <c r="K965" i="93"/>
  <c r="K964" i="93"/>
  <c r="G965" i="93"/>
  <c r="G964" i="93"/>
  <c r="B964" i="93"/>
  <c r="A1010" i="93"/>
  <c r="A1040" i="93" s="1"/>
  <c r="A1068" i="93" s="1"/>
  <c r="F1062" i="93"/>
  <c r="E1062" i="93"/>
  <c r="D1062" i="93"/>
  <c r="C1062" i="93"/>
  <c r="B1062" i="93"/>
  <c r="F1061" i="93"/>
  <c r="E1061" i="93"/>
  <c r="D1061" i="93"/>
  <c r="C1061" i="93"/>
  <c r="B1061" i="93"/>
  <c r="A988" i="93"/>
  <c r="A1018" i="93"/>
  <c r="A1047" i="93" s="1"/>
  <c r="A1075"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7" i="93"/>
  <c r="A1017" i="93"/>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1" i="93"/>
  <c r="P923" i="93"/>
  <c r="K938" i="93"/>
  <c r="K937" i="93"/>
  <c r="K939" i="93"/>
  <c r="K940" i="93"/>
  <c r="K941" i="93"/>
  <c r="L938" i="93"/>
  <c r="L939" i="93"/>
  <c r="L940" i="93"/>
  <c r="L941" i="93"/>
  <c r="K929" i="93"/>
  <c r="L929" i="93"/>
  <c r="K930" i="93"/>
  <c r="L930" i="93"/>
  <c r="K931" i="93"/>
  <c r="L931" i="93"/>
  <c r="K922" i="93"/>
  <c r="K921" i="93"/>
  <c r="L921" i="93"/>
  <c r="L922" i="93"/>
  <c r="F938" i="93"/>
  <c r="G938" i="93"/>
  <c r="F939" i="93"/>
  <c r="G939" i="93"/>
  <c r="F940" i="93"/>
  <c r="G940" i="93"/>
  <c r="F941" i="93"/>
  <c r="G941" i="93"/>
  <c r="F942" i="93"/>
  <c r="G942" i="93"/>
  <c r="F943" i="93"/>
  <c r="G943" i="93"/>
  <c r="F944" i="93"/>
  <c r="G944" i="93"/>
  <c r="F929" i="93"/>
  <c r="G929" i="93"/>
  <c r="F930" i="93"/>
  <c r="G930" i="93"/>
  <c r="F928" i="93"/>
  <c r="G928" i="93"/>
  <c r="F933" i="93"/>
  <c r="F931" i="93"/>
  <c r="G931" i="93"/>
  <c r="F932" i="93"/>
  <c r="G932" i="93"/>
  <c r="G933" i="93"/>
  <c r="F922" i="93"/>
  <c r="F921" i="93"/>
  <c r="G921" i="93"/>
  <c r="G922" i="93"/>
  <c r="F923" i="93"/>
  <c r="G923" i="93"/>
  <c r="F924" i="93"/>
  <c r="G924" i="93"/>
  <c r="K915" i="93"/>
  <c r="J915" i="93"/>
  <c r="I915" i="93"/>
  <c r="I914" i="93"/>
  <c r="I916" i="93" s="1"/>
  <c r="H915" i="93"/>
  <c r="G915" i="93"/>
  <c r="K914" i="93"/>
  <c r="K916" i="93" s="1"/>
  <c r="J914" i="93"/>
  <c r="J916" i="93" s="1"/>
  <c r="H914" i="93"/>
  <c r="H916" i="93" s="1"/>
  <c r="G914" i="93"/>
  <c r="G916" i="93" s="1"/>
  <c r="H910" i="93"/>
  <c r="H912" i="93"/>
  <c r="I910" i="93"/>
  <c r="I911" i="93"/>
  <c r="J910" i="93"/>
  <c r="J912" i="93" s="1"/>
  <c r="K910" i="93"/>
  <c r="H911" i="93"/>
  <c r="J911" i="93"/>
  <c r="K911" i="93"/>
  <c r="K912" i="93"/>
  <c r="G911" i="93"/>
  <c r="G912" i="93" s="1"/>
  <c r="P906" i="93"/>
  <c r="O906" i="93"/>
  <c r="O907" i="93" s="1"/>
  <c r="N906" i="93"/>
  <c r="N905" i="93"/>
  <c r="M906" i="93"/>
  <c r="L906" i="93"/>
  <c r="K906" i="93"/>
  <c r="J906" i="93"/>
  <c r="J905" i="93"/>
  <c r="I906" i="93"/>
  <c r="I907" i="93" s="1"/>
  <c r="H906" i="93"/>
  <c r="G906" i="93"/>
  <c r="P905" i="93"/>
  <c r="P907" i="93" s="1"/>
  <c r="O905" i="93"/>
  <c r="M905" i="93"/>
  <c r="M907" i="93" s="1"/>
  <c r="L905" i="93"/>
  <c r="L907" i="93" s="1"/>
  <c r="K905" i="93"/>
  <c r="I905" i="93"/>
  <c r="H905" i="93"/>
  <c r="H907" i="93"/>
  <c r="G905" i="93"/>
  <c r="P902" i="93"/>
  <c r="O902" i="93"/>
  <c r="N902" i="93"/>
  <c r="M902" i="93"/>
  <c r="L902" i="93"/>
  <c r="L903" i="93"/>
  <c r="K902" i="93"/>
  <c r="K903" i="93" s="1"/>
  <c r="J902" i="93"/>
  <c r="I902" i="93"/>
  <c r="H902" i="93"/>
  <c r="G902" i="93"/>
  <c r="P901" i="93"/>
  <c r="O901" i="93"/>
  <c r="N901" i="93"/>
  <c r="N903" i="93" s="1"/>
  <c r="M901" i="93"/>
  <c r="L901" i="93"/>
  <c r="K901" i="93"/>
  <c r="J901" i="93"/>
  <c r="J903" i="93" s="1"/>
  <c r="I901" i="93"/>
  <c r="I903" i="93"/>
  <c r="H901" i="93"/>
  <c r="G901" i="93"/>
  <c r="P897" i="93"/>
  <c r="P896" i="93"/>
  <c r="O897" i="93"/>
  <c r="N897" i="93"/>
  <c r="M897" i="93"/>
  <c r="M896" i="93"/>
  <c r="L897" i="93"/>
  <c r="L896" i="93"/>
  <c r="L898" i="93" s="1"/>
  <c r="K897" i="93"/>
  <c r="J897" i="93"/>
  <c r="I897" i="93"/>
  <c r="I896" i="93"/>
  <c r="H897" i="93"/>
  <c r="H896" i="93"/>
  <c r="G897" i="93"/>
  <c r="O896" i="93"/>
  <c r="O898" i="93" s="1"/>
  <c r="N896" i="93"/>
  <c r="K896" i="93"/>
  <c r="K898" i="93" s="1"/>
  <c r="J896" i="93"/>
  <c r="J898" i="93" s="1"/>
  <c r="G896" i="93"/>
  <c r="G898" i="93"/>
  <c r="P893" i="93"/>
  <c r="P892" i="93"/>
  <c r="O893" i="93"/>
  <c r="O894" i="93" s="1"/>
  <c r="N893" i="93"/>
  <c r="M893" i="93"/>
  <c r="M892" i="93"/>
  <c r="M894" i="93" s="1"/>
  <c r="L893" i="93"/>
  <c r="L892" i="93"/>
  <c r="L894" i="93" s="1"/>
  <c r="K893" i="93"/>
  <c r="J893" i="93"/>
  <c r="I893" i="93"/>
  <c r="I894" i="93" s="1"/>
  <c r="I892" i="93"/>
  <c r="H893" i="93"/>
  <c r="H892" i="93"/>
  <c r="H894" i="93" s="1"/>
  <c r="G893" i="93"/>
  <c r="O892" i="93"/>
  <c r="N892" i="93"/>
  <c r="K892" i="93"/>
  <c r="K894" i="93" s="1"/>
  <c r="J892" i="93"/>
  <c r="J894" i="93" s="1"/>
  <c r="G892" i="93"/>
  <c r="P888" i="93"/>
  <c r="O888" i="93"/>
  <c r="N888" i="93"/>
  <c r="M888" i="93"/>
  <c r="L888" i="93"/>
  <c r="K888" i="93"/>
  <c r="J888" i="93"/>
  <c r="I888" i="93"/>
  <c r="H888" i="93"/>
  <c r="H889" i="93" s="1"/>
  <c r="G888" i="93"/>
  <c r="P887" i="93"/>
  <c r="P889" i="93" s="1"/>
  <c r="O887" i="93"/>
  <c r="O889" i="93" s="1"/>
  <c r="N887" i="93"/>
  <c r="M887" i="93"/>
  <c r="M889" i="93" s="1"/>
  <c r="L887" i="93"/>
  <c r="K887" i="93"/>
  <c r="J887" i="93"/>
  <c r="J889" i="93" s="1"/>
  <c r="I887" i="93"/>
  <c r="I889" i="93"/>
  <c r="H887" i="93"/>
  <c r="G887" i="93"/>
  <c r="G889" i="93" s="1"/>
  <c r="H883" i="93"/>
  <c r="H885" i="93" s="1"/>
  <c r="I883" i="93"/>
  <c r="I885" i="93" s="1"/>
  <c r="J883" i="93"/>
  <c r="K883" i="93"/>
  <c r="K885" i="93" s="1"/>
  <c r="K884" i="93"/>
  <c r="L883" i="93"/>
  <c r="L885" i="93"/>
  <c r="M883" i="93"/>
  <c r="N883" i="93"/>
  <c r="N885" i="93" s="1"/>
  <c r="O883" i="93"/>
  <c r="O884" i="93"/>
  <c r="O885" i="93" s="1"/>
  <c r="P883" i="93"/>
  <c r="H884" i="93"/>
  <c r="I884" i="93"/>
  <c r="J884" i="93"/>
  <c r="L884" i="93"/>
  <c r="M884" i="93"/>
  <c r="M885" i="93" s="1"/>
  <c r="N884" i="93"/>
  <c r="P884" i="93"/>
  <c r="G884" i="93"/>
  <c r="G883" i="93"/>
  <c r="G885" i="93" s="1"/>
  <c r="K838" i="93"/>
  <c r="J838" i="93"/>
  <c r="L838" i="93"/>
  <c r="M838" i="93"/>
  <c r="N838" i="93"/>
  <c r="K839" i="93"/>
  <c r="J839" i="93"/>
  <c r="L839" i="93"/>
  <c r="M839" i="93"/>
  <c r="N839" i="93"/>
  <c r="FP802" i="93"/>
  <c r="HW774" i="93"/>
  <c r="HV770" i="93"/>
  <c r="O804" i="93"/>
  <c r="O803" i="93"/>
  <c r="JE803" i="93" s="1"/>
  <c r="O802" i="93"/>
  <c r="O801" i="93"/>
  <c r="O800" i="93"/>
  <c r="O799" i="93"/>
  <c r="O798" i="93"/>
  <c r="O797" i="93"/>
  <c r="O796" i="93"/>
  <c r="O795" i="93"/>
  <c r="O794" i="93"/>
  <c r="O793" i="93"/>
  <c r="O792" i="93"/>
  <c r="O791" i="93"/>
  <c r="O790" i="93"/>
  <c r="B790" i="93"/>
  <c r="M790" i="93"/>
  <c r="BX790" i="93" s="1"/>
  <c r="O789" i="93"/>
  <c r="O788" i="93"/>
  <c r="O787" i="93"/>
  <c r="O786" i="93"/>
  <c r="O785" i="93"/>
  <c r="O784" i="93"/>
  <c r="O783" i="93"/>
  <c r="O782" i="93"/>
  <c r="B782" i="93"/>
  <c r="M782" i="93"/>
  <c r="O781" i="93"/>
  <c r="O780" i="93"/>
  <c r="JJ780" i="93" s="1"/>
  <c r="O779" i="93"/>
  <c r="O778" i="93"/>
  <c r="O777" i="93"/>
  <c r="O776" i="93"/>
  <c r="O775" i="93"/>
  <c r="O774" i="93"/>
  <c r="B774" i="93"/>
  <c r="M774" i="93"/>
  <c r="CY774" i="93" s="1"/>
  <c r="O773" i="93"/>
  <c r="O772" i="93"/>
  <c r="O771" i="93"/>
  <c r="O770" i="93"/>
  <c r="B770" i="93"/>
  <c r="M770" i="93"/>
  <c r="O769" i="93"/>
  <c r="O768" i="93"/>
  <c r="O767" i="93"/>
  <c r="E804" i="93"/>
  <c r="JQ804" i="93" s="1"/>
  <c r="HL801" i="93"/>
  <c r="E800" i="93"/>
  <c r="JM800" i="93"/>
  <c r="M804" i="93"/>
  <c r="M803" i="93"/>
  <c r="CZ803" i="93"/>
  <c r="M802" i="93"/>
  <c r="M801" i="93"/>
  <c r="M800" i="93"/>
  <c r="M799" i="93"/>
  <c r="M798" i="93"/>
  <c r="M797" i="93"/>
  <c r="M796" i="93"/>
  <c r="M795" i="93"/>
  <c r="M794" i="93"/>
  <c r="B794" i="93"/>
  <c r="M793" i="93"/>
  <c r="M792" i="93"/>
  <c r="M791" i="93"/>
  <c r="DX791" i="93" s="1"/>
  <c r="M789" i="93"/>
  <c r="M788" i="93"/>
  <c r="M787" i="93"/>
  <c r="M786" i="93"/>
  <c r="B786" i="93"/>
  <c r="M785" i="93"/>
  <c r="M784" i="93"/>
  <c r="M783" i="93"/>
  <c r="M781" i="93"/>
  <c r="M780" i="93"/>
  <c r="M779" i="93"/>
  <c r="M778" i="93"/>
  <c r="B778" i="93"/>
  <c r="M777" i="93"/>
  <c r="M776" i="93"/>
  <c r="M775" i="93"/>
  <c r="M773" i="93"/>
  <c r="M772" i="93"/>
  <c r="M771" i="93"/>
  <c r="M769" i="93"/>
  <c r="J804" i="93"/>
  <c r="J803" i="93"/>
  <c r="J802" i="93"/>
  <c r="J801" i="93"/>
  <c r="CX801" i="93" s="1"/>
  <c r="J800" i="93"/>
  <c r="J799" i="93"/>
  <c r="J798" i="93"/>
  <c r="J797" i="93"/>
  <c r="J796" i="93"/>
  <c r="J795" i="93"/>
  <c r="J794" i="93"/>
  <c r="J793" i="93"/>
  <c r="J792" i="93"/>
  <c r="CU792" i="93" s="1"/>
  <c r="J791" i="93"/>
  <c r="J790" i="93"/>
  <c r="J789" i="93"/>
  <c r="BS789" i="93" s="1"/>
  <c r="J788" i="93"/>
  <c r="J787" i="93"/>
  <c r="J786" i="93"/>
  <c r="J785" i="93"/>
  <c r="J784" i="93"/>
  <c r="J783" i="93"/>
  <c r="J782" i="93"/>
  <c r="J781" i="93"/>
  <c r="J780" i="93"/>
  <c r="J779" i="93"/>
  <c r="J778" i="93"/>
  <c r="J777" i="93"/>
  <c r="J776" i="93"/>
  <c r="J775" i="93"/>
  <c r="J774" i="93"/>
  <c r="J773" i="93"/>
  <c r="J772" i="93"/>
  <c r="J771" i="93"/>
  <c r="CX771" i="93"/>
  <c r="J770" i="93"/>
  <c r="J769" i="93"/>
  <c r="CU767" i="93"/>
  <c r="I804" i="93"/>
  <c r="I803" i="93"/>
  <c r="I802" i="93"/>
  <c r="I801" i="93"/>
  <c r="I800" i="93"/>
  <c r="I799" i="93"/>
  <c r="I798" i="93"/>
  <c r="I797" i="93"/>
  <c r="I796" i="93"/>
  <c r="I795" i="93"/>
  <c r="I793" i="93"/>
  <c r="I792" i="93"/>
  <c r="I790" i="93"/>
  <c r="I789" i="93"/>
  <c r="I788" i="93"/>
  <c r="K788" i="93" s="1"/>
  <c r="I787" i="93"/>
  <c r="I786" i="93"/>
  <c r="I785" i="93"/>
  <c r="I784" i="93"/>
  <c r="I781" i="93"/>
  <c r="K781" i="93" s="1"/>
  <c r="I780" i="93"/>
  <c r="I779" i="93"/>
  <c r="I777" i="93"/>
  <c r="I774" i="93"/>
  <c r="I773" i="93"/>
  <c r="I771" i="93"/>
  <c r="K771" i="93" s="1"/>
  <c r="L771" i="93" s="1"/>
  <c r="I770" i="93"/>
  <c r="I767" i="93"/>
  <c r="H804" i="93"/>
  <c r="K804" i="93" s="1"/>
  <c r="H803" i="93"/>
  <c r="K803" i="93" s="1"/>
  <c r="H802" i="93"/>
  <c r="H801" i="93"/>
  <c r="H800" i="93"/>
  <c r="H799" i="93"/>
  <c r="H798" i="93"/>
  <c r="H797" i="93"/>
  <c r="K797" i="93"/>
  <c r="H796" i="93"/>
  <c r="K796" i="93" s="1"/>
  <c r="H795" i="93"/>
  <c r="H794" i="93"/>
  <c r="H793" i="93"/>
  <c r="H792" i="93"/>
  <c r="H791" i="93"/>
  <c r="H790" i="93"/>
  <c r="H789" i="93"/>
  <c r="H788" i="93"/>
  <c r="H787" i="93"/>
  <c r="K787" i="93" s="1"/>
  <c r="H786" i="93"/>
  <c r="H785" i="93"/>
  <c r="H784" i="93"/>
  <c r="K784" i="93" s="1"/>
  <c r="L784" i="93" s="1"/>
  <c r="H783" i="93"/>
  <c r="H782" i="93"/>
  <c r="H781" i="93"/>
  <c r="H780" i="93"/>
  <c r="H779" i="93"/>
  <c r="H778" i="93"/>
  <c r="H777" i="93"/>
  <c r="H776" i="93"/>
  <c r="H775" i="93"/>
  <c r="H774" i="93"/>
  <c r="H773" i="93"/>
  <c r="H772" i="93"/>
  <c r="H771" i="93"/>
  <c r="A771" i="93" s="1"/>
  <c r="H770" i="93"/>
  <c r="H769" i="93"/>
  <c r="H768" i="93"/>
  <c r="H767" i="93"/>
  <c r="K767" i="93"/>
  <c r="L767" i="93" s="1"/>
  <c r="G804" i="93"/>
  <c r="G803" i="93"/>
  <c r="G802" i="93"/>
  <c r="G801" i="93"/>
  <c r="G800" i="93"/>
  <c r="G799" i="93"/>
  <c r="A799" i="93" s="1"/>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A800" i="93" s="1"/>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3" i="93"/>
  <c r="JQ803" i="93" s="1"/>
  <c r="E802" i="93"/>
  <c r="E801" i="93"/>
  <c r="JL801" i="93"/>
  <c r="E799" i="93"/>
  <c r="E798" i="93"/>
  <c r="E797" i="93"/>
  <c r="E796" i="93"/>
  <c r="L796" i="93" s="1"/>
  <c r="E795" i="93"/>
  <c r="E794" i="93"/>
  <c r="E793" i="93"/>
  <c r="E792" i="93"/>
  <c r="E791" i="93"/>
  <c r="E790" i="93"/>
  <c r="E789" i="93"/>
  <c r="E788" i="93"/>
  <c r="JL788" i="93" s="1"/>
  <c r="E787" i="93"/>
  <c r="E786" i="93"/>
  <c r="E785" i="93"/>
  <c r="E784" i="93"/>
  <c r="E783" i="93"/>
  <c r="E782" i="93"/>
  <c r="E781" i="93"/>
  <c r="E780" i="93"/>
  <c r="E779" i="93"/>
  <c r="E778" i="93"/>
  <c r="E777" i="93"/>
  <c r="E776" i="93"/>
  <c r="E775" i="93"/>
  <c r="E774" i="93"/>
  <c r="JI774" i="93" s="1"/>
  <c r="E773" i="93"/>
  <c r="E772" i="93"/>
  <c r="E771" i="93"/>
  <c r="E770" i="93"/>
  <c r="E769" i="93"/>
  <c r="D804" i="93"/>
  <c r="D803" i="93"/>
  <c r="D802" i="93"/>
  <c r="D801" i="93"/>
  <c r="D800" i="93"/>
  <c r="D799" i="93"/>
  <c r="D798" i="93"/>
  <c r="D797" i="93"/>
  <c r="D796" i="93"/>
  <c r="D795" i="93"/>
  <c r="D794" i="93"/>
  <c r="D793" i="93"/>
  <c r="A793" i="93" s="1"/>
  <c r="D792" i="93"/>
  <c r="D791" i="93"/>
  <c r="D790" i="93"/>
  <c r="D789" i="93"/>
  <c r="D788" i="93"/>
  <c r="D787" i="93"/>
  <c r="D786" i="93"/>
  <c r="D785" i="93"/>
  <c r="D784" i="93"/>
  <c r="D783" i="93"/>
  <c r="D782" i="93"/>
  <c r="A782" i="93" s="1"/>
  <c r="D781" i="93"/>
  <c r="D780" i="93"/>
  <c r="D779" i="93"/>
  <c r="D778" i="93"/>
  <c r="D777" i="93"/>
  <c r="D776" i="93"/>
  <c r="D775" i="93"/>
  <c r="A775" i="93"/>
  <c r="D774" i="93"/>
  <c r="D773" i="93"/>
  <c r="D772" i="93"/>
  <c r="D771" i="93"/>
  <c r="D770" i="93"/>
  <c r="D769" i="93"/>
  <c r="D768" i="93"/>
  <c r="D767" i="93"/>
  <c r="A767" i="93" s="1"/>
  <c r="B802" i="93"/>
  <c r="B769" i="93"/>
  <c r="B771" i="93"/>
  <c r="B772" i="93"/>
  <c r="B773" i="93"/>
  <c r="B775" i="93"/>
  <c r="B776" i="93"/>
  <c r="B777" i="93"/>
  <c r="B779" i="93"/>
  <c r="B780" i="93"/>
  <c r="IM780" i="93" s="1"/>
  <c r="B781" i="93"/>
  <c r="B783" i="93"/>
  <c r="B784" i="93"/>
  <c r="BA784" i="93" s="1"/>
  <c r="B785" i="93"/>
  <c r="B787" i="93"/>
  <c r="IK787" i="93" s="1"/>
  <c r="B788" i="93"/>
  <c r="B789" i="93"/>
  <c r="B791" i="93"/>
  <c r="B792" i="93"/>
  <c r="B793" i="93"/>
  <c r="B795" i="93"/>
  <c r="B796" i="93"/>
  <c r="B797" i="93"/>
  <c r="CH797" i="93" s="1"/>
  <c r="B798" i="93"/>
  <c r="B799" i="93"/>
  <c r="B800" i="93"/>
  <c r="IE800" i="93" s="1"/>
  <c r="B801"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K932" i="93" s="1"/>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N40" i="66"/>
  <c r="R918" i="93"/>
  <c r="R913" i="93"/>
  <c r="S909" i="93"/>
  <c r="R904" i="93"/>
  <c r="S900" i="93"/>
  <c r="R895" i="93"/>
  <c r="S891" i="93"/>
  <c r="R886" i="93"/>
  <c r="R882" i="93"/>
  <c r="R881" i="93"/>
  <c r="R879" i="93"/>
  <c r="R869" i="93"/>
  <c r="R860" i="93"/>
  <c r="R842" i="93"/>
  <c r="R828" i="93"/>
  <c r="R824" i="93"/>
  <c r="R820" i="93"/>
  <c r="R810" i="93"/>
  <c r="JR805" i="93"/>
  <c r="JN804" i="93"/>
  <c r="JM804" i="93"/>
  <c r="HU804" i="93"/>
  <c r="HT804" i="93"/>
  <c r="HL804" i="93"/>
  <c r="HA804" i="93"/>
  <c r="GZ804" i="93"/>
  <c r="GR804" i="93"/>
  <c r="GJ804" i="93"/>
  <c r="GF804" i="93"/>
  <c r="FX804" i="93"/>
  <c r="FP804" i="93"/>
  <c r="FL804" i="93"/>
  <c r="FE804" i="93"/>
  <c r="FA804" i="93"/>
  <c r="EZ804" i="93"/>
  <c r="EW804" i="93"/>
  <c r="DC804" i="93"/>
  <c r="DB804" i="93"/>
  <c r="DA804" i="93"/>
  <c r="CZ804" i="93"/>
  <c r="CY804" i="93"/>
  <c r="BY804" i="93"/>
  <c r="BX804" i="93"/>
  <c r="BW804" i="93"/>
  <c r="BV804" i="93"/>
  <c r="BU804" i="93"/>
  <c r="JP803" i="93"/>
  <c r="HX803" i="93"/>
  <c r="HW803" i="93"/>
  <c r="GZ803" i="93"/>
  <c r="GR803" i="93"/>
  <c r="GQ803" i="93"/>
  <c r="GJ803" i="93"/>
  <c r="GI803" i="93"/>
  <c r="FL803" i="93"/>
  <c r="FD803" i="93"/>
  <c r="FC803" i="93"/>
  <c r="FA803" i="93"/>
  <c r="EZ803" i="93"/>
  <c r="EY803" i="93"/>
  <c r="EX803" i="93"/>
  <c r="EW803" i="93"/>
  <c r="DB803" i="93"/>
  <c r="CD803" i="93"/>
  <c r="BX803" i="93"/>
  <c r="HK801" i="93"/>
  <c r="HA801" i="93"/>
  <c r="GQ801" i="93"/>
  <c r="GF801" i="93"/>
  <c r="FO801" i="93"/>
  <c r="FD801" i="93"/>
  <c r="EY801" i="93"/>
  <c r="AM801"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CZ800" i="93"/>
  <c r="BW800" i="93"/>
  <c r="AM800" i="93"/>
  <c r="HN799" i="93"/>
  <c r="HA799" i="93"/>
  <c r="GP799" i="93"/>
  <c r="GH799" i="93"/>
  <c r="FZ799" i="93"/>
  <c r="FM799" i="93"/>
  <c r="FB799" i="93"/>
  <c r="FA799" i="93"/>
  <c r="EY799" i="93"/>
  <c r="EX799" i="93"/>
  <c r="EW799" i="93"/>
  <c r="DC799" i="93"/>
  <c r="CW799" i="93"/>
  <c r="BY799" i="93"/>
  <c r="BT799" i="93"/>
  <c r="AA799"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HJ796" i="93"/>
  <c r="CY796" i="93"/>
  <c r="JO795" i="93"/>
  <c r="JL795" i="93"/>
  <c r="JJ795" i="93"/>
  <c r="JG795" i="93"/>
  <c r="JA795" i="93"/>
  <c r="IF795" i="93"/>
  <c r="HJ795" i="93"/>
  <c r="HB795" i="93"/>
  <c r="HA795" i="93"/>
  <c r="GT795" i="93"/>
  <c r="GS795" i="93"/>
  <c r="FV795" i="93"/>
  <c r="FN795" i="93"/>
  <c r="FM795" i="93"/>
  <c r="FF795" i="93"/>
  <c r="FE795" i="93"/>
  <c r="FA795" i="93"/>
  <c r="EZ795" i="93"/>
  <c r="EY795" i="93"/>
  <c r="EX795" i="93"/>
  <c r="EW795" i="93"/>
  <c r="ES795" i="93"/>
  <c r="EE795" i="93"/>
  <c r="DS795" i="93"/>
  <c r="DP795" i="93"/>
  <c r="DC795" i="93"/>
  <c r="DA795" i="93"/>
  <c r="CY795" i="93"/>
  <c r="CC795" i="93"/>
  <c r="BX795" i="93"/>
  <c r="BW795" i="93"/>
  <c r="AQ795" i="93"/>
  <c r="AB795" i="93"/>
  <c r="W795" i="93"/>
  <c r="IN793" i="93"/>
  <c r="ID793" i="93"/>
  <c r="HX793" i="93"/>
  <c r="HW793" i="93"/>
  <c r="HV793" i="93"/>
  <c r="HT793" i="93"/>
  <c r="HN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DF793" i="93"/>
  <c r="DB793" i="93"/>
  <c r="CZ793" i="93"/>
  <c r="CV793" i="93"/>
  <c r="CS793" i="93"/>
  <c r="CR793" i="93"/>
  <c r="CO793" i="93"/>
  <c r="CL793" i="93"/>
  <c r="CK793" i="93"/>
  <c r="CH793" i="93"/>
  <c r="CD793" i="93"/>
  <c r="CB793" i="93"/>
  <c r="BZ793" i="93"/>
  <c r="BX793" i="93"/>
  <c r="BV793" i="93"/>
  <c r="BT793" i="93"/>
  <c r="BQ793" i="93"/>
  <c r="BM793" i="93"/>
  <c r="BL793" i="93"/>
  <c r="BI793" i="93"/>
  <c r="BF793" i="93"/>
  <c r="BE793" i="93"/>
  <c r="BB793" i="93"/>
  <c r="BA793" i="93"/>
  <c r="AV793" i="93"/>
  <c r="AT793" i="93"/>
  <c r="AR793" i="93"/>
  <c r="AP793" i="93"/>
  <c r="AN793" i="93"/>
  <c r="AK793" i="93"/>
  <c r="AJ793" i="93"/>
  <c r="AF793" i="93"/>
  <c r="AD793" i="93"/>
  <c r="AB793" i="93"/>
  <c r="AA793" i="93"/>
  <c r="Y793" i="93"/>
  <c r="X793" i="93"/>
  <c r="JQ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CY792" i="93"/>
  <c r="BW792" i="93"/>
  <c r="JK791" i="93"/>
  <c r="JG791" i="93"/>
  <c r="IN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EM791" i="93"/>
  <c r="DK791" i="93"/>
  <c r="DA791" i="93"/>
  <c r="BZ791" i="93"/>
  <c r="BV791" i="93"/>
  <c r="Z791" i="93"/>
  <c r="FW790" i="93"/>
  <c r="IY789" i="93"/>
  <c r="IX789" i="93"/>
  <c r="IT789" i="93"/>
  <c r="IQ789" i="93"/>
  <c r="IP789" i="93"/>
  <c r="IM789" i="93"/>
  <c r="IL789" i="93"/>
  <c r="IK789" i="93"/>
  <c r="IJ789" i="93"/>
  <c r="II789" i="93"/>
  <c r="IH789" i="93"/>
  <c r="IG789" i="93"/>
  <c r="IF789" i="93"/>
  <c r="IE789" i="93"/>
  <c r="ID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U789" i="93"/>
  <c r="ET789" i="93"/>
  <c r="EP789" i="93"/>
  <c r="EI789" i="93"/>
  <c r="EH789" i="93"/>
  <c r="EE789" i="93"/>
  <c r="ED789" i="93"/>
  <c r="DZ789" i="93"/>
  <c r="DW789" i="93"/>
  <c r="DS789" i="93"/>
  <c r="DO789" i="93"/>
  <c r="DN789" i="93"/>
  <c r="DJ789" i="93"/>
  <c r="DG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R789" i="93"/>
  <c r="BQ789" i="93"/>
  <c r="BP789" i="93"/>
  <c r="BO789" i="93"/>
  <c r="BN789" i="93"/>
  <c r="BM789" i="93"/>
  <c r="BL789" i="93"/>
  <c r="BJ789" i="93"/>
  <c r="BI789" i="93"/>
  <c r="BH789" i="93"/>
  <c r="BG789" i="93"/>
  <c r="BF789" i="93"/>
  <c r="BE789" i="93"/>
  <c r="BD789" i="93"/>
  <c r="BB789" i="93"/>
  <c r="BA789" i="93"/>
  <c r="AZ789" i="93"/>
  <c r="AY789" i="93"/>
  <c r="AX789" i="93"/>
  <c r="AW789" i="93"/>
  <c r="AV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K789" i="93"/>
  <c r="JQ788" i="93"/>
  <c r="JP788" i="93"/>
  <c r="JO788" i="93"/>
  <c r="JN788" i="93"/>
  <c r="JM788" i="93"/>
  <c r="JK788" i="93"/>
  <c r="JJ788" i="93"/>
  <c r="JI788" i="93"/>
  <c r="JH788" i="93"/>
  <c r="JG788" i="93"/>
  <c r="JF788" i="93"/>
  <c r="JE788" i="93"/>
  <c r="JC788" i="93"/>
  <c r="IH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P787" i="93"/>
  <c r="JJ787" i="93"/>
  <c r="JD787" i="93"/>
  <c r="IU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U787" i="93"/>
  <c r="EK787" i="93"/>
  <c r="DZ787" i="93"/>
  <c r="DO787" i="93"/>
  <c r="DE787" i="93"/>
  <c r="DC787" i="93"/>
  <c r="DA787" i="93"/>
  <c r="CZ787" i="93"/>
  <c r="CY787" i="93"/>
  <c r="CT787" i="93"/>
  <c r="CK787" i="93"/>
  <c r="BZ787" i="93"/>
  <c r="BY787" i="93"/>
  <c r="BW787" i="93"/>
  <c r="BV787" i="93"/>
  <c r="BU787" i="93"/>
  <c r="BF787" i="93"/>
  <c r="AP787" i="93"/>
  <c r="AE787" i="93"/>
  <c r="GS786" i="93"/>
  <c r="FB786" i="93"/>
  <c r="JP785" i="93"/>
  <c r="JL785" i="93"/>
  <c r="JH785" i="93"/>
  <c r="JA785" i="93"/>
  <c r="IZ785" i="93"/>
  <c r="IW785" i="93"/>
  <c r="IV785" i="93"/>
  <c r="IR785" i="93"/>
  <c r="IO785" i="93"/>
  <c r="IN785" i="93"/>
  <c r="IM785" i="93"/>
  <c r="IL785" i="93"/>
  <c r="IK785" i="93"/>
  <c r="IJ785" i="93"/>
  <c r="IH785" i="93"/>
  <c r="IG785" i="93"/>
  <c r="IF785" i="93"/>
  <c r="IE785" i="93"/>
  <c r="ID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V785" i="93"/>
  <c r="ES785" i="93"/>
  <c r="ER785" i="93"/>
  <c r="EO785" i="93"/>
  <c r="EN785" i="93"/>
  <c r="EJ785" i="93"/>
  <c r="EG785" i="93"/>
  <c r="EF785" i="93"/>
  <c r="EC785" i="93"/>
  <c r="EB785" i="93"/>
  <c r="DY785" i="93"/>
  <c r="DX785" i="93"/>
  <c r="DT785" i="93"/>
  <c r="DQ785" i="93"/>
  <c r="DP785" i="93"/>
  <c r="DM785" i="93"/>
  <c r="DL785" i="93"/>
  <c r="DI785" i="93"/>
  <c r="DH785" i="93"/>
  <c r="DD785" i="93"/>
  <c r="DC785" i="93"/>
  <c r="DB785" i="93"/>
  <c r="DA785" i="93"/>
  <c r="CZ785" i="93"/>
  <c r="CY785" i="93"/>
  <c r="CX785" i="93"/>
  <c r="CV785" i="93"/>
  <c r="CU785" i="93"/>
  <c r="CT785" i="93"/>
  <c r="CS785" i="93"/>
  <c r="CR785" i="93"/>
  <c r="CQ785" i="93"/>
  <c r="CP785" i="93"/>
  <c r="CN785" i="93"/>
  <c r="CM785" i="93"/>
  <c r="CL785" i="93"/>
  <c r="CK785" i="93"/>
  <c r="CJ785" i="93"/>
  <c r="CI785" i="93"/>
  <c r="CH785" i="93"/>
  <c r="CF785" i="93"/>
  <c r="CE785" i="93"/>
  <c r="CD785" i="93"/>
  <c r="CC785" i="93"/>
  <c r="CB785" i="93"/>
  <c r="CA785" i="93"/>
  <c r="BZ785" i="93"/>
  <c r="BX785" i="93"/>
  <c r="BW785" i="93"/>
  <c r="BV785" i="93"/>
  <c r="BU785" i="93"/>
  <c r="BT785" i="93"/>
  <c r="BS785" i="93"/>
  <c r="BR785" i="93"/>
  <c r="BP785" i="93"/>
  <c r="BO785" i="93"/>
  <c r="BN785" i="93"/>
  <c r="BM785" i="93"/>
  <c r="BL785" i="93"/>
  <c r="BK785" i="93"/>
  <c r="BJ785" i="93"/>
  <c r="BH785" i="93"/>
  <c r="BG785" i="93"/>
  <c r="BF785" i="93"/>
  <c r="BE785" i="93"/>
  <c r="BD785" i="93"/>
  <c r="BC785" i="93"/>
  <c r="BB785" i="93"/>
  <c r="AZ785" i="93"/>
  <c r="AY785" i="93"/>
  <c r="AX785" i="93"/>
  <c r="AW785" i="93"/>
  <c r="AV785" i="93"/>
  <c r="AU785" i="93"/>
  <c r="AT785" i="93"/>
  <c r="AR785" i="93"/>
  <c r="AQ785" i="93"/>
  <c r="AP785" i="93"/>
  <c r="AO785" i="93"/>
  <c r="AN785" i="93"/>
  <c r="AM785" i="93"/>
  <c r="AL785" i="93"/>
  <c r="AJ785" i="93"/>
  <c r="AI785" i="93"/>
  <c r="AH785" i="93"/>
  <c r="AG785" i="93"/>
  <c r="AF785" i="93"/>
  <c r="AE785" i="93"/>
  <c r="AD785" i="93"/>
  <c r="AB785" i="93"/>
  <c r="AA785" i="93"/>
  <c r="Z785" i="93"/>
  <c r="Y785" i="93"/>
  <c r="X785" i="93"/>
  <c r="W785" i="93"/>
  <c r="JQ784" i="93"/>
  <c r="JO784" i="93"/>
  <c r="JN784" i="93"/>
  <c r="JM784" i="93"/>
  <c r="JL784" i="93"/>
  <c r="JK784" i="93"/>
  <c r="JJ784" i="93"/>
  <c r="JI784" i="93"/>
  <c r="JG784" i="93"/>
  <c r="JF784" i="93"/>
  <c r="JE784" i="93"/>
  <c r="JD784" i="93"/>
  <c r="JC784" i="93"/>
  <c r="ID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DC784" i="93"/>
  <c r="CY784" i="93"/>
  <c r="CU784" i="93"/>
  <c r="BX784" i="93"/>
  <c r="JJ783" i="93"/>
  <c r="JB783" i="93"/>
  <c r="JA783" i="93"/>
  <c r="IW783" i="93"/>
  <c r="IV783" i="93"/>
  <c r="IP783" i="93"/>
  <c r="IL783" i="93"/>
  <c r="IK783" i="93"/>
  <c r="IG783" i="93"/>
  <c r="IF783" i="93"/>
  <c r="FA783" i="93"/>
  <c r="EY783" i="93"/>
  <c r="EX783" i="93"/>
  <c r="EW783" i="93"/>
  <c r="ET783" i="93"/>
  <c r="EP783" i="93"/>
  <c r="EO783" i="93"/>
  <c r="EK783" i="93"/>
  <c r="EJ783" i="93"/>
  <c r="EF783" i="93"/>
  <c r="ED783" i="93"/>
  <c r="DY783" i="93"/>
  <c r="DU783" i="93"/>
  <c r="DT783" i="93"/>
  <c r="DP783" i="93"/>
  <c r="DN783" i="93"/>
  <c r="DJ783" i="93"/>
  <c r="DI783" i="93"/>
  <c r="DD783" i="93"/>
  <c r="DC783" i="93"/>
  <c r="DB783" i="93"/>
  <c r="DA783" i="93"/>
  <c r="CZ783" i="93"/>
  <c r="CY783" i="93"/>
  <c r="CV783" i="93"/>
  <c r="CS783" i="93"/>
  <c r="CR783" i="93"/>
  <c r="CN783" i="93"/>
  <c r="CL783" i="93"/>
  <c r="CG783" i="93"/>
  <c r="CC783" i="93"/>
  <c r="CB783" i="93"/>
  <c r="BX783" i="93"/>
  <c r="BW783" i="93"/>
  <c r="BV783" i="93"/>
  <c r="BU783" i="93"/>
  <c r="BT783" i="93"/>
  <c r="BR783" i="93"/>
  <c r="BI783" i="93"/>
  <c r="AX783" i="93"/>
  <c r="AW783" i="93"/>
  <c r="AN783" i="93"/>
  <c r="AL783" i="93"/>
  <c r="AH783" i="93"/>
  <c r="AG783" i="93"/>
  <c r="AC783" i="93"/>
  <c r="X783" i="93"/>
  <c r="GJ782" i="93"/>
  <c r="FZ782" i="93"/>
  <c r="FO782" i="93"/>
  <c r="AO782" i="93"/>
  <c r="IY781" i="93"/>
  <c r="IT781" i="93"/>
  <c r="IN781" i="93"/>
  <c r="IJ781" i="93"/>
  <c r="IF781" i="93"/>
  <c r="HX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K781" i="93"/>
  <c r="DJ781" i="93"/>
  <c r="DH781" i="93"/>
  <c r="DG781" i="93"/>
  <c r="DF781" i="93"/>
  <c r="DD781" i="93"/>
  <c r="DC781" i="93"/>
  <c r="DB781" i="93"/>
  <c r="DA781" i="93"/>
  <c r="CZ781" i="93"/>
  <c r="CY781" i="93"/>
  <c r="CX781" i="93"/>
  <c r="CW781" i="93"/>
  <c r="CV781" i="93"/>
  <c r="CU781" i="93"/>
  <c r="CT781" i="93"/>
  <c r="CS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I780" i="93"/>
  <c r="JH780" i="93"/>
  <c r="JG780" i="93"/>
  <c r="JF780" i="93"/>
  <c r="JE780" i="93"/>
  <c r="JD780" i="93"/>
  <c r="JC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K780" i="93"/>
  <c r="L780" i="93"/>
  <c r="JQ779" i="93"/>
  <c r="JP779" i="93"/>
  <c r="JO779" i="93"/>
  <c r="JN779" i="93"/>
  <c r="JM779" i="93"/>
  <c r="JL779" i="93"/>
  <c r="JK779" i="93"/>
  <c r="JJ779" i="93"/>
  <c r="JI779" i="93"/>
  <c r="JH779" i="93"/>
  <c r="JG779" i="93"/>
  <c r="JF779" i="93"/>
  <c r="JE779" i="93"/>
  <c r="JD779" i="93"/>
  <c r="JC779" i="93"/>
  <c r="IY779" i="93"/>
  <c r="IX779" i="93"/>
  <c r="IT779" i="93"/>
  <c r="IS779" i="93"/>
  <c r="IO779" i="93"/>
  <c r="II779" i="93"/>
  <c r="IH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S779" i="93"/>
  <c r="EQ779" i="93"/>
  <c r="EM779" i="93"/>
  <c r="EL779" i="93"/>
  <c r="EH779" i="93"/>
  <c r="EG779" i="93"/>
  <c r="EC779" i="93"/>
  <c r="DW779" i="93"/>
  <c r="DV779" i="93"/>
  <c r="DR779" i="93"/>
  <c r="DQ779" i="93"/>
  <c r="DM779" i="93"/>
  <c r="DK779" i="93"/>
  <c r="DG779" i="93"/>
  <c r="DC779" i="93"/>
  <c r="DB779" i="93"/>
  <c r="DA779" i="93"/>
  <c r="CZ779" i="93"/>
  <c r="CY779" i="93"/>
  <c r="CX779" i="93"/>
  <c r="CW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X778" i="93"/>
  <c r="GZ778" i="93"/>
  <c r="GR778" i="93"/>
  <c r="FL778" i="93"/>
  <c r="CZ778" i="93"/>
  <c r="BV778"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HD777" i="93"/>
  <c r="GG777" i="93"/>
  <c r="EY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K777" i="93"/>
  <c r="JQ776" i="93"/>
  <c r="JP776" i="93"/>
  <c r="JO776" i="93"/>
  <c r="JN776" i="93"/>
  <c r="JM776" i="93"/>
  <c r="JL776" i="93"/>
  <c r="JK776" i="93"/>
  <c r="JJ776" i="93"/>
  <c r="JI776" i="93"/>
  <c r="JH776" i="93"/>
  <c r="JG776" i="93"/>
  <c r="JF776" i="93"/>
  <c r="JE776" i="93"/>
  <c r="JD776" i="93"/>
  <c r="JC776" i="93"/>
  <c r="IH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L774" i="93"/>
  <c r="GQ774" i="93"/>
  <c r="FV774" i="93"/>
  <c r="FP774" i="93"/>
  <c r="FF774" i="93"/>
  <c r="EZ774" i="93"/>
  <c r="CM774" i="93"/>
  <c r="AQ774" i="93"/>
  <c r="IZ773" i="93"/>
  <c r="IV773" i="93"/>
  <c r="IR773" i="93"/>
  <c r="IN773" i="93"/>
  <c r="IJ773" i="93"/>
  <c r="IF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K773" i="93"/>
  <c r="JQ772" i="93"/>
  <c r="JP772" i="93"/>
  <c r="JO772" i="93"/>
  <c r="JN772" i="93"/>
  <c r="JM772" i="93"/>
  <c r="JL772" i="93"/>
  <c r="JK772" i="93"/>
  <c r="JJ772" i="93"/>
  <c r="JI772" i="93"/>
  <c r="JH772" i="93"/>
  <c r="JG772" i="93"/>
  <c r="JF772" i="93"/>
  <c r="JE772" i="93"/>
  <c r="JD772" i="93"/>
  <c r="JC772" i="93"/>
  <c r="IZ772" i="93"/>
  <c r="IJ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IU768" i="93"/>
  <c r="IE768" i="93"/>
  <c r="GQ768" i="93"/>
  <c r="FO768" i="93"/>
  <c r="EM768" i="93"/>
  <c r="DW768" i="93"/>
  <c r="DG768" i="93"/>
  <c r="DC768" i="93"/>
  <c r="DB768" i="93"/>
  <c r="DA768" i="93"/>
  <c r="CZ768" i="93"/>
  <c r="CY768" i="93"/>
  <c r="CX768" i="93"/>
  <c r="CW768" i="93"/>
  <c r="CV768" i="93"/>
  <c r="CU768" i="93"/>
  <c r="CT768" i="93"/>
  <c r="CM768" i="93"/>
  <c r="BY768" i="93"/>
  <c r="BX768" i="93"/>
  <c r="BW768" i="93"/>
  <c r="BV768" i="93"/>
  <c r="BU768" i="93"/>
  <c r="BG768" i="93"/>
  <c r="JP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W767" i="93"/>
  <c r="GZ767" i="93"/>
  <c r="FM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O763" i="93"/>
  <c r="M763" i="93"/>
  <c r="U760" i="93"/>
  <c r="A758" i="93"/>
  <c r="U758" i="93" s="1"/>
  <c r="J17" i="78"/>
  <c r="J27" i="78"/>
  <c r="J64" i="78"/>
  <c r="J77" i="78"/>
  <c r="J83" i="78"/>
  <c r="J126" i="78"/>
  <c r="J130" i="78"/>
  <c r="J146" i="78"/>
  <c r="J150" i="78" s="1"/>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s="1"/>
  <c r="F1569" i="93"/>
  <c r="P1564" i="93" s="1"/>
  <c r="O1569" i="93"/>
  <c r="P1566" i="93" s="1"/>
  <c r="J1569" i="93"/>
  <c r="P1565" i="93" s="1"/>
  <c r="D969" i="93"/>
  <c r="C975" i="93"/>
  <c r="C977" i="93"/>
  <c r="HC786" i="93"/>
  <c r="FM786" i="93"/>
  <c r="HN786" i="93"/>
  <c r="FW786" i="93"/>
  <c r="HC790" i="93"/>
  <c r="HT798" i="93"/>
  <c r="HA770" i="93"/>
  <c r="GF774" i="93"/>
  <c r="HB774" i="93"/>
  <c r="FD778" i="93"/>
  <c r="GJ778" i="93"/>
  <c r="FD782" i="93"/>
  <c r="GH786"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N790" i="93"/>
  <c r="DR798" i="93"/>
  <c r="EL778" i="93"/>
  <c r="JG782" i="93"/>
  <c r="JB777" i="93"/>
  <c r="IX777" i="93"/>
  <c r="IT777" i="93"/>
  <c r="IP777" i="93"/>
  <c r="ET777" i="93"/>
  <c r="EP777" i="93"/>
  <c r="EL777" i="93"/>
  <c r="EH777" i="93"/>
  <c r="ED777" i="93"/>
  <c r="DZ777" i="93"/>
  <c r="DV777" i="93"/>
  <c r="DR777" i="93"/>
  <c r="DN777" i="93"/>
  <c r="DJ777"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A789" i="93"/>
  <c r="IW789" i="93"/>
  <c r="IS789" i="93"/>
  <c r="IO789" i="93"/>
  <c r="ES789" i="93"/>
  <c r="EO789" i="93"/>
  <c r="EK789" i="93"/>
  <c r="EG789" i="93"/>
  <c r="EC789" i="93"/>
  <c r="DY789" i="93"/>
  <c r="DU789" i="93"/>
  <c r="DQ789" i="93"/>
  <c r="DM789" i="93"/>
  <c r="DI789" i="93"/>
  <c r="DE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EN797" i="93"/>
  <c r="JB797" i="93"/>
  <c r="DZ797" i="93"/>
  <c r="IV801" i="93"/>
  <c r="EO801" i="93"/>
  <c r="DM801" i="93"/>
  <c r="IQ801" i="93"/>
  <c r="EN801" i="93"/>
  <c r="DI801" i="93"/>
  <c r="DL774"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P769" i="93"/>
  <c r="JO785" i="93"/>
  <c r="JN793" i="93"/>
  <c r="JG801" i="93"/>
  <c r="DW770" i="93"/>
  <c r="BS774" i="93"/>
  <c r="DS774" i="93"/>
  <c r="IK774" i="93"/>
  <c r="Z778" i="93"/>
  <c r="DY782" i="93"/>
  <c r="EL786" i="93"/>
  <c r="CZ790" i="93"/>
  <c r="AK798" i="93"/>
  <c r="BV770" i="93"/>
  <c r="ED770" i="93"/>
  <c r="IO770" i="93"/>
  <c r="BY774" i="93"/>
  <c r="DY774" i="93"/>
  <c r="IT774" i="93"/>
  <c r="AE770" i="93"/>
  <c r="CC770" i="93"/>
  <c r="DI770" i="93"/>
  <c r="EL770" i="93"/>
  <c r="IU770" i="93"/>
  <c r="AJ774" i="93"/>
  <c r="CF774" i="93"/>
  <c r="DD774" i="93"/>
  <c r="EI774" i="93"/>
  <c r="CU778" i="93"/>
  <c r="AA782" i="93"/>
  <c r="CZ782" i="93"/>
  <c r="IS782" i="93"/>
  <c r="W786" i="93"/>
  <c r="DB786"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E797" i="93"/>
  <c r="EB797" i="93"/>
  <c r="DG797" i="93"/>
  <c r="CL797" i="93"/>
  <c r="BP797" i="93"/>
  <c r="AU797" i="93"/>
  <c r="AE797" i="93"/>
  <c r="IT797" i="93"/>
  <c r="EV797" i="93"/>
  <c r="EA797" i="93"/>
  <c r="DF797" i="93"/>
  <c r="CJ797" i="93"/>
  <c r="BO797" i="93"/>
  <c r="AT797" i="93"/>
  <c r="AD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M778" i="93"/>
  <c r="CQ782" i="93"/>
  <c r="CP786"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K770" i="93"/>
  <c r="JO773" i="93"/>
  <c r="JQ785" i="93"/>
  <c r="JF785" i="93"/>
  <c r="JJ785" i="93"/>
  <c r="JN785" i="93"/>
  <c r="JJ789" i="93"/>
  <c r="JE793" i="93"/>
  <c r="JI793" i="93"/>
  <c r="JM793" i="93"/>
  <c r="JQ793" i="93"/>
  <c r="JP797" i="93"/>
  <c r="JD801" i="93"/>
  <c r="JF769" i="93"/>
  <c r="JJ769" i="93"/>
  <c r="JN769" i="93"/>
  <c r="JE785" i="93"/>
  <c r="JI785" i="93"/>
  <c r="JM785" i="93"/>
  <c r="JD793" i="93"/>
  <c r="JH793" i="93"/>
  <c r="JL793" i="93"/>
  <c r="JP793" i="93"/>
  <c r="A769" i="93"/>
  <c r="JC769" i="93"/>
  <c r="JG769" i="93"/>
  <c r="JK769" i="93"/>
  <c r="JO769" i="93"/>
  <c r="JC774" i="93"/>
  <c r="L777" i="93"/>
  <c r="JD769" i="93"/>
  <c r="JH769" i="93"/>
  <c r="JL769" i="93"/>
  <c r="JI777" i="93"/>
  <c r="A785" i="93"/>
  <c r="JC785" i="93"/>
  <c r="JG785" i="93"/>
  <c r="JK785" i="93"/>
  <c r="JF793" i="93"/>
  <c r="JJ793"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FE778" i="93"/>
  <c r="IS778" i="93"/>
  <c r="ID778" i="93"/>
  <c r="HV778" i="93"/>
  <c r="HN778" i="93"/>
  <c r="HJ778" i="93"/>
  <c r="HB778" i="93"/>
  <c r="GT778" i="93"/>
  <c r="GP778" i="93"/>
  <c r="GH778" i="93"/>
  <c r="FZ778" i="93"/>
  <c r="FV778" i="93"/>
  <c r="FN778" i="93"/>
  <c r="FF778" i="93"/>
  <c r="FB778" i="93"/>
  <c r="EX778" i="93"/>
  <c r="EQ778" i="93"/>
  <c r="EC778" i="93"/>
  <c r="DN778" i="93"/>
  <c r="DA778" i="93"/>
  <c r="CW778" i="93"/>
  <c r="CS778" i="93"/>
  <c r="CD778" i="93"/>
  <c r="BX778" i="93"/>
  <c r="BS778" i="93"/>
  <c r="BE778" i="93"/>
  <c r="AP778" i="93"/>
  <c r="AC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JJ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AH786" i="93"/>
  <c r="Z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D790" i="93"/>
  <c r="IM790" i="93"/>
  <c r="HU790" i="93"/>
  <c r="HM790" i="93"/>
  <c r="HA790" i="93"/>
  <c r="GS790" i="93"/>
  <c r="GG790" i="93"/>
  <c r="FY790" i="93"/>
  <c r="FM790" i="93"/>
  <c r="FE790" i="93"/>
  <c r="FA790" i="93"/>
  <c r="EW790" i="93"/>
  <c r="ED790" i="93"/>
  <c r="DK790" i="93"/>
  <c r="DB790" i="93"/>
  <c r="CX790" i="93"/>
  <c r="CI790" i="93"/>
  <c r="BZ790" i="93"/>
  <c r="BV790" i="93"/>
  <c r="BH790" i="93"/>
  <c r="AT790" i="93"/>
  <c r="AL790" i="93"/>
  <c r="AF790" i="93"/>
  <c r="Y790" i="93"/>
  <c r="JQ790" i="93"/>
  <c r="JM790" i="93"/>
  <c r="JI790" i="93"/>
  <c r="IX790" i="93"/>
  <c r="IE790" i="93"/>
  <c r="HV790" i="93"/>
  <c r="HN790" i="93"/>
  <c r="HJ790" i="93"/>
  <c r="HB790" i="93"/>
  <c r="GT790" i="93"/>
  <c r="GP790" i="93"/>
  <c r="GH790" i="93"/>
  <c r="FZ790" i="93"/>
  <c r="FV790" i="93"/>
  <c r="FN790" i="93"/>
  <c r="FF790" i="93"/>
  <c r="FB790" i="93"/>
  <c r="EX790" i="93"/>
  <c r="EO790" i="93"/>
  <c r="DW790" i="93"/>
  <c r="DC790" i="93"/>
  <c r="CY790" i="93"/>
  <c r="CU790" i="93"/>
  <c r="CM790" i="93"/>
  <c r="CC790" i="93"/>
  <c r="BW790" i="93"/>
  <c r="BQ790" i="93"/>
  <c r="BB790" i="93"/>
  <c r="AO790" i="93"/>
  <c r="AG790" i="93"/>
  <c r="Z790" i="93"/>
  <c r="K790" i="93"/>
  <c r="L790" i="93" s="1"/>
  <c r="JA790" i="93"/>
  <c r="IH790" i="93"/>
  <c r="HW790" i="93"/>
  <c r="GQ790" i="93"/>
  <c r="GI790" i="93"/>
  <c r="FC790" i="93"/>
  <c r="ES790" i="93"/>
  <c r="DF790" i="93"/>
  <c r="CE790" i="93"/>
  <c r="BE790" i="93"/>
  <c r="AP790" i="93"/>
  <c r="AB790" i="93"/>
  <c r="JC790" i="93"/>
  <c r="II790" i="93"/>
  <c r="HX790" i="93"/>
  <c r="GZ790" i="93"/>
  <c r="GR790" i="93"/>
  <c r="GJ790" i="93"/>
  <c r="FL790" i="93"/>
  <c r="FD790" i="93"/>
  <c r="ET790" i="93"/>
  <c r="DI790" i="93"/>
  <c r="CH790" i="93"/>
  <c r="BU790" i="93"/>
  <c r="BF790" i="93"/>
  <c r="AD790" i="93"/>
  <c r="IO794" i="93"/>
  <c r="EK794" i="93"/>
  <c r="DS794" i="93"/>
  <c r="DB794" i="93"/>
  <c r="CX794" i="93"/>
  <c r="CT794" i="93"/>
  <c r="CC794" i="93"/>
  <c r="BW794" i="93"/>
  <c r="BS794" i="93"/>
  <c r="AY794" i="93"/>
  <c r="AF794" i="93"/>
  <c r="IR794" i="93"/>
  <c r="GJ794" i="93"/>
  <c r="EN794" i="93"/>
  <c r="DT794" i="93"/>
  <c r="DC794" i="93"/>
  <c r="CY794" i="93"/>
  <c r="CU794" i="93"/>
  <c r="CF794" i="93"/>
  <c r="BX794" i="93"/>
  <c r="BT794" i="93"/>
  <c r="BA794" i="93"/>
  <c r="AI794" i="93"/>
  <c r="IU794" i="93"/>
  <c r="EO794" i="93"/>
  <c r="DD794" i="93"/>
  <c r="CV794" i="93"/>
  <c r="CI794" i="93"/>
  <c r="BU794" i="93"/>
  <c r="BD794" i="93"/>
  <c r="IV794" i="93"/>
  <c r="ES794" i="93"/>
  <c r="DE794" i="93"/>
  <c r="CW794" i="93"/>
  <c r="CK794" i="93"/>
  <c r="BV794" i="93"/>
  <c r="BG794" i="93"/>
  <c r="CS794" i="93"/>
  <c r="AC794" i="93"/>
  <c r="IK794" i="93"/>
  <c r="CZ794" i="93"/>
  <c r="BY794" i="93"/>
  <c r="AS794" i="93"/>
  <c r="JO798" i="93"/>
  <c r="JK798" i="93"/>
  <c r="JG798" i="93"/>
  <c r="JC798" i="93"/>
  <c r="IP798" i="93"/>
  <c r="ID798" i="93"/>
  <c r="HV798" i="93"/>
  <c r="HN798" i="93"/>
  <c r="HJ798" i="93"/>
  <c r="HB798" i="93"/>
  <c r="GT798" i="93"/>
  <c r="GP798" i="93"/>
  <c r="GH798" i="93"/>
  <c r="FZ798" i="93"/>
  <c r="FV798" i="93"/>
  <c r="FN798" i="93"/>
  <c r="FF798" i="93"/>
  <c r="FB798" i="93"/>
  <c r="EX798" i="93"/>
  <c r="EO798" i="93"/>
  <c r="EA798" i="93"/>
  <c r="DN798" i="93"/>
  <c r="DE798" i="93"/>
  <c r="CZ798" i="93"/>
  <c r="CQ798" i="93"/>
  <c r="CF798" i="93"/>
  <c r="BX798" i="93"/>
  <c r="BK798" i="93"/>
  <c r="AQ798" i="93"/>
  <c r="AI798" i="93"/>
  <c r="X798" i="93"/>
  <c r="JM798" i="93"/>
  <c r="JH798" i="93"/>
  <c r="IY798" i="93"/>
  <c r="II798" i="93"/>
  <c r="HU798" i="93"/>
  <c r="HK798" i="93"/>
  <c r="GZ798" i="93"/>
  <c r="GJ798" i="93"/>
  <c r="FY798" i="93"/>
  <c r="FO798" i="93"/>
  <c r="FD798" i="93"/>
  <c r="EY798" i="93"/>
  <c r="EI798" i="93"/>
  <c r="DV798" i="93"/>
  <c r="DG798" i="93"/>
  <c r="CY798" i="93"/>
  <c r="CJ798" i="93"/>
  <c r="BW798" i="93"/>
  <c r="BO798" i="93"/>
  <c r="AO798" i="93"/>
  <c r="AC798" i="93"/>
  <c r="K798" i="93"/>
  <c r="L798" i="93" s="1"/>
  <c r="JN798" i="93"/>
  <c r="JI798" i="93"/>
  <c r="JD798" i="93"/>
  <c r="IO798" i="93"/>
  <c r="HW798" i="93"/>
  <c r="HL798" i="93"/>
  <c r="HA798" i="93"/>
  <c r="GQ798" i="93"/>
  <c r="GF798" i="93"/>
  <c r="FP798" i="93"/>
  <c r="FE798" i="93"/>
  <c r="EZ798" i="93"/>
  <c r="EQ798" i="93"/>
  <c r="DY798" i="93"/>
  <c r="DH798" i="93"/>
  <c r="DA798" i="93"/>
  <c r="CU798" i="93"/>
  <c r="CK798" i="93"/>
  <c r="BY798" i="93"/>
  <c r="BE798" i="93"/>
  <c r="AE798" i="93"/>
  <c r="JJ798" i="93"/>
  <c r="IS798" i="93"/>
  <c r="HX798" i="93"/>
  <c r="HM798" i="93"/>
  <c r="HC798" i="93"/>
  <c r="GR798" i="93"/>
  <c r="GG798" i="93"/>
  <c r="FW798" i="93"/>
  <c r="FL798" i="93"/>
  <c r="FA798" i="93"/>
  <c r="EG798" i="93"/>
  <c r="DB798" i="93"/>
  <c r="CN798" i="93"/>
  <c r="BU798" i="93"/>
  <c r="JL798" i="93"/>
  <c r="IX798" i="93"/>
  <c r="HD798" i="93"/>
  <c r="GS798" i="93"/>
  <c r="GI798" i="93"/>
  <c r="FX798" i="93"/>
  <c r="FM798" i="93"/>
  <c r="FC798" i="93"/>
  <c r="EH798" i="93"/>
  <c r="DC798" i="93"/>
  <c r="CS798" i="93"/>
  <c r="BV798" i="93"/>
  <c r="AY798" i="93"/>
  <c r="AA798" i="93"/>
  <c r="JQ798" i="93"/>
  <c r="IH798" i="93"/>
  <c r="EW798" i="93"/>
  <c r="BL798" i="93"/>
  <c r="JE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JJ774" i="93"/>
  <c r="AU778" i="93"/>
  <c r="BW778" i="93"/>
  <c r="CV778" i="93"/>
  <c r="DS778" i="93"/>
  <c r="FO778" i="93"/>
  <c r="FW778" i="93"/>
  <c r="HK778" i="93"/>
  <c r="JA778" i="93"/>
  <c r="AB782" i="93"/>
  <c r="AQ782" i="93"/>
  <c r="BE782" i="93"/>
  <c r="CE782" i="93"/>
  <c r="DA782" i="93"/>
  <c r="DM782" i="93"/>
  <c r="EB782" i="93"/>
  <c r="FF782" i="93"/>
  <c r="FP782" i="93"/>
  <c r="JI782" i="93"/>
  <c r="K786" i="93"/>
  <c r="AE786" i="93"/>
  <c r="AW786" i="93"/>
  <c r="BQ786" i="93"/>
  <c r="CU786" i="93"/>
  <c r="DI786" i="93"/>
  <c r="EA786" i="93"/>
  <c r="ET786" i="93"/>
  <c r="IU786" i="93"/>
  <c r="DA790" i="93"/>
  <c r="FX790" i="93"/>
  <c r="HT790" i="93"/>
  <c r="JO790" i="93"/>
  <c r="DA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K770" i="93"/>
  <c r="K774" i="93"/>
  <c r="L774" i="93"/>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AA774" i="93"/>
  <c r="AG774" i="93"/>
  <c r="AO774" i="93"/>
  <c r="AV774" i="93"/>
  <c r="BC774" i="93"/>
  <c r="BK774" i="93"/>
  <c r="BQ774" i="93"/>
  <c r="BW774" i="93"/>
  <c r="CE774" i="93"/>
  <c r="CK774" i="93"/>
  <c r="CR774" i="93"/>
  <c r="CX774" i="93"/>
  <c r="DC774" i="93"/>
  <c r="DI774" i="93"/>
  <c r="DQ774" i="93"/>
  <c r="DX774" i="93"/>
  <c r="EG774" i="93"/>
  <c r="EQ774" i="93"/>
  <c r="EY774" i="93"/>
  <c r="FD774" i="93"/>
  <c r="FO774" i="93"/>
  <c r="FZ774" i="93"/>
  <c r="GJ774" i="93"/>
  <c r="GP774" i="93"/>
  <c r="GZ774" i="93"/>
  <c r="HK774" i="93"/>
  <c r="HV774" i="93"/>
  <c r="IH774" i="93"/>
  <c r="IS774" i="93"/>
  <c r="JA774" i="93"/>
  <c r="JG774" i="93"/>
  <c r="JM774" i="93"/>
  <c r="Y778" i="93"/>
  <c r="AS778" i="93"/>
  <c r="BJ778" i="93"/>
  <c r="BU778" i="93"/>
  <c r="BZ778" i="93"/>
  <c r="CT778" i="93"/>
  <c r="CY778" i="93"/>
  <c r="DF778" i="93"/>
  <c r="DY778" i="93"/>
  <c r="ES778" i="93"/>
  <c r="FC778" i="93"/>
  <c r="GI778" i="93"/>
  <c r="GQ778" i="93"/>
  <c r="HW778" i="93"/>
  <c r="IT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AK790" i="93"/>
  <c r="CP790" i="93"/>
  <c r="EZ790" i="93"/>
  <c r="FP790" i="93"/>
  <c r="GF790" i="93"/>
  <c r="HL790" i="93"/>
  <c r="JG790" i="93"/>
  <c r="EI794" i="93"/>
  <c r="FV794" i="93"/>
  <c r="CW798" i="93"/>
  <c r="JP798"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K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IT802" i="93"/>
  <c r="HA802" i="93"/>
  <c r="GS802" i="93"/>
  <c r="FM802" i="93"/>
  <c r="FE802" i="93"/>
  <c r="EW802" i="93"/>
  <c r="DP802" i="93"/>
  <c r="CY802" i="93"/>
  <c r="CM802" i="93"/>
  <c r="BV802" i="93"/>
  <c r="BA802" i="93"/>
  <c r="AC802" i="93"/>
  <c r="IN802" i="93"/>
  <c r="HX802" i="93"/>
  <c r="GZ802" i="93"/>
  <c r="GR802" i="93"/>
  <c r="GJ802" i="93"/>
  <c r="FL802" i="93"/>
  <c r="FD802" i="93"/>
  <c r="ER802" i="93"/>
  <c r="DK802" i="93"/>
  <c r="CX802" i="93"/>
  <c r="CK802" i="93"/>
  <c r="BU802" i="93"/>
  <c r="AY802" i="93"/>
  <c r="X802" i="93"/>
  <c r="HM802" i="93"/>
  <c r="GG802" i="93"/>
  <c r="FA802" i="93"/>
  <c r="DC802" i="93"/>
  <c r="CA802" i="93"/>
  <c r="AN802" i="93"/>
  <c r="HT802" i="93"/>
  <c r="HD802" i="93"/>
  <c r="FX802" i="93"/>
  <c r="EC802" i="93"/>
  <c r="CT802" i="93"/>
  <c r="BI802" i="93"/>
  <c r="HL802" i="93"/>
  <c r="GF802" i="93"/>
  <c r="EZ802" i="93"/>
  <c r="BY802" i="93"/>
  <c r="HU802" i="93"/>
  <c r="CU802" i="93"/>
  <c r="FY802" i="93"/>
  <c r="BO802" i="93"/>
  <c r="DB802" i="93"/>
  <c r="AO770" i="93"/>
  <c r="BJ770" i="93"/>
  <c r="CD770" i="93"/>
  <c r="CX770" i="93"/>
  <c r="DR770" i="93"/>
  <c r="EM770" i="93"/>
  <c r="FF770" i="93"/>
  <c r="FV770" i="93"/>
  <c r="HB770" i="93"/>
  <c r="HM770" i="93"/>
  <c r="IP770" i="93"/>
  <c r="W774" i="93"/>
  <c r="AR774" i="93"/>
  <c r="BU774" i="93"/>
  <c r="CO774" i="93"/>
  <c r="DG774" i="93"/>
  <c r="EC774" i="93"/>
  <c r="FB774" i="93"/>
  <c r="GR774" i="93"/>
  <c r="HX774" i="93"/>
  <c r="IM774" i="93"/>
  <c r="JO774" i="93"/>
  <c r="BF778" i="93"/>
  <c r="DB778" i="93"/>
  <c r="EY778" i="93"/>
  <c r="HC778" i="93"/>
  <c r="BS782" i="93"/>
  <c r="CR782" i="93"/>
  <c r="ES782" i="93"/>
  <c r="IU782" i="93"/>
  <c r="CE786" i="93"/>
  <c r="FF786" i="93"/>
  <c r="BY790" i="93"/>
  <c r="HD790" i="93"/>
  <c r="IT790" i="93"/>
  <c r="AX770" i="93"/>
  <c r="CE770" i="93"/>
  <c r="DM770" i="93"/>
  <c r="ID770" i="93"/>
  <c r="Y774" i="93"/>
  <c r="AU774" i="93"/>
  <c r="CB774" i="93"/>
  <c r="DB774" i="93"/>
  <c r="ED774" i="93"/>
  <c r="AE778" i="93"/>
  <c r="AY778" i="93"/>
  <c r="BQ778" i="93"/>
  <c r="BY778" i="93"/>
  <c r="CH778" i="93"/>
  <c r="CX778" i="93"/>
  <c r="DC778" i="93"/>
  <c r="DM778" i="93"/>
  <c r="EG778" i="93"/>
  <c r="EZ778" i="93"/>
  <c r="FP778" i="93"/>
  <c r="FX778" i="93"/>
  <c r="GF778" i="93"/>
  <c r="HD778" i="93"/>
  <c r="HL778" i="93"/>
  <c r="HT778" i="93"/>
  <c r="IO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AJ790" i="93"/>
  <c r="BL790" i="93"/>
  <c r="CO790" i="93"/>
  <c r="DQ790" i="93"/>
  <c r="EY790" i="93"/>
  <c r="FO790" i="93"/>
  <c r="HK790" i="93"/>
  <c r="JF790" i="93"/>
  <c r="DM794" i="93"/>
  <c r="CE798" i="93"/>
  <c r="JF798" i="93"/>
  <c r="AM802" i="93"/>
  <c r="JA797" i="93"/>
  <c r="IS797" i="93"/>
  <c r="IK797" i="93"/>
  <c r="HU797" i="93"/>
  <c r="HM797" i="93"/>
  <c r="HA797" i="93"/>
  <c r="GS797" i="93"/>
  <c r="GG797" i="93"/>
  <c r="FY797" i="93"/>
  <c r="FM797" i="93"/>
  <c r="FE797" i="93"/>
  <c r="FA797" i="93"/>
  <c r="EW797" i="93"/>
  <c r="ES797" i="93"/>
  <c r="EK797" i="93"/>
  <c r="EG797" i="93"/>
  <c r="EC797" i="93"/>
  <c r="DU797" i="93"/>
  <c r="DQ797" i="93"/>
  <c r="DM797" i="93"/>
  <c r="DE797" i="93"/>
  <c r="DA797" i="93"/>
  <c r="CW797" i="93"/>
  <c r="CO797" i="93"/>
  <c r="CK797" i="93"/>
  <c r="CG797" i="93"/>
  <c r="BY797" i="93"/>
  <c r="BU797" i="93"/>
  <c r="BQ797" i="93"/>
  <c r="BI797" i="93"/>
  <c r="BE797" i="93"/>
  <c r="BA797" i="93"/>
  <c r="JN801" i="93"/>
  <c r="JJ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K801" i="93"/>
  <c r="L801" i="93" s="1"/>
  <c r="AA801" i="93"/>
  <c r="AI801" i="93"/>
  <c r="AQ801" i="93"/>
  <c r="AY801" i="93"/>
  <c r="BG801" i="93"/>
  <c r="BO801" i="93"/>
  <c r="BW801" i="93"/>
  <c r="CE801" i="93"/>
  <c r="CM801" i="93"/>
  <c r="CU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AW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AP800" i="93"/>
  <c r="AJ800" i="93"/>
  <c r="AE800" i="93"/>
  <c r="Z800" i="93"/>
  <c r="IY800" i="93"/>
  <c r="IQ800" i="93"/>
  <c r="IJ800" i="93"/>
  <c r="ID800" i="93"/>
  <c r="ET800" i="93"/>
  <c r="EL800" i="93"/>
  <c r="EE800" i="93"/>
  <c r="DX800" i="93"/>
  <c r="DP800" i="93"/>
  <c r="DJ800" i="93"/>
  <c r="CP800" i="93"/>
  <c r="CH800" i="93"/>
  <c r="CA800" i="93"/>
  <c r="BL800" i="93"/>
  <c r="AI800" i="93"/>
  <c r="AB800" i="93"/>
  <c r="IU800" i="93"/>
  <c r="IL800" i="93"/>
  <c r="EP800" i="93"/>
  <c r="EF800" i="93"/>
  <c r="DV800" i="93"/>
  <c r="DN800" i="93"/>
  <c r="DD800" i="93"/>
  <c r="CQ800" i="93"/>
  <c r="CF800" i="93"/>
  <c r="AL800" i="93"/>
  <c r="AA800" i="93"/>
  <c r="JB800" i="93"/>
  <c r="IT800" i="93"/>
  <c r="II800" i="93"/>
  <c r="EV800" i="93"/>
  <c r="EN800" i="93"/>
  <c r="ED800" i="93"/>
  <c r="DT800" i="93"/>
  <c r="DK800" i="93"/>
  <c r="CM800" i="93"/>
  <c r="CE800" i="93"/>
  <c r="BB800" i="93"/>
  <c r="AH800" i="93"/>
  <c r="X800" i="93"/>
  <c r="IZ800" i="93"/>
  <c r="IP800" i="93"/>
  <c r="IF800" i="93"/>
  <c r="EU800" i="93"/>
  <c r="EJ800" i="93"/>
  <c r="EA800" i="93"/>
  <c r="DS800" i="93"/>
  <c r="DH800" i="93"/>
  <c r="CL800" i="93"/>
  <c r="CB800" i="93"/>
  <c r="AN800" i="93"/>
  <c r="AF800" i="93"/>
  <c r="W800" i="93"/>
  <c r="IK796" i="93"/>
  <c r="CK796" i="93"/>
  <c r="AW796" i="93"/>
  <c r="IL796" i="93"/>
  <c r="DP796" i="93"/>
  <c r="AI796" i="93"/>
  <c r="EM796" i="93"/>
  <c r="IY796" i="93"/>
  <c r="DO796" i="93"/>
  <c r="IX796" i="93"/>
  <c r="DG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BC796"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EH796"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X792" i="93"/>
  <c r="DX792" i="93"/>
  <c r="IY792" i="93"/>
  <c r="BR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CQ783" i="93"/>
  <c r="CM783" i="93"/>
  <c r="CI783" i="93"/>
  <c r="CE783" i="93"/>
  <c r="CA783" i="93"/>
  <c r="BS783" i="93"/>
  <c r="BO783" i="93"/>
  <c r="BK783" i="93"/>
  <c r="BG783" i="93"/>
  <c r="BC783" i="93"/>
  <c r="AY783" i="93"/>
  <c r="AU783" i="93"/>
  <c r="AQ783" i="93"/>
  <c r="AM783" i="93"/>
  <c r="AI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C21" i="90" s="1"/>
  <c r="G49" i="89"/>
  <c r="D977" i="93"/>
  <c r="D971"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37" i="93"/>
  <c r="K738" i="93"/>
  <c r="K739" i="93"/>
  <c r="J740" i="93"/>
  <c r="I740" i="93"/>
  <c r="M739" i="93"/>
  <c r="L739" i="93"/>
  <c r="J739" i="93"/>
  <c r="I739" i="93"/>
  <c r="M738" i="93"/>
  <c r="M737" i="93"/>
  <c r="L738" i="93"/>
  <c r="L737" i="93"/>
  <c r="J738" i="93"/>
  <c r="I738" i="93"/>
  <c r="I737" i="93"/>
  <c r="J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T565" i="93"/>
  <c r="S565" i="93"/>
  <c r="T564" i="93"/>
  <c r="S564" i="93"/>
  <c r="Q565" i="93"/>
  <c r="P565" i="93"/>
  <c r="Q564" i="93"/>
  <c r="P564" i="93"/>
  <c r="N565" i="93"/>
  <c r="M565" i="93"/>
  <c r="N564" i="93"/>
  <c r="M564" i="93"/>
  <c r="K565" i="93"/>
  <c r="J565" i="93"/>
  <c r="K564" i="93"/>
  <c r="J564" i="93"/>
  <c r="H565" i="93"/>
  <c r="G565" i="93"/>
  <c r="H564" i="93"/>
  <c r="G564" i="93"/>
  <c r="Q561" i="93"/>
  <c r="P560" i="93"/>
  <c r="Q560" i="93"/>
  <c r="P561" i="93"/>
  <c r="N561" i="93"/>
  <c r="M561" i="93"/>
  <c r="M562" i="93" s="1"/>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G554" i="93" s="1"/>
  <c r="H552" i="93"/>
  <c r="H553" i="93"/>
  <c r="G549" i="93"/>
  <c r="H549" i="93"/>
  <c r="G551" i="93"/>
  <c r="H551" i="93"/>
  <c r="T549" i="93"/>
  <c r="S549" i="93"/>
  <c r="S554" i="93" s="1"/>
  <c r="Q549" i="93"/>
  <c r="P549" i="93"/>
  <c r="N549" i="93"/>
  <c r="M549" i="93"/>
  <c r="K549" i="93"/>
  <c r="J549" i="93"/>
  <c r="T546" i="93"/>
  <c r="S546" i="93"/>
  <c r="T545" i="93"/>
  <c r="S545" i="93"/>
  <c r="T544" i="93"/>
  <c r="S544" i="93"/>
  <c r="T543" i="93"/>
  <c r="S543" i="93"/>
  <c r="G544" i="93"/>
  <c r="H544" i="93"/>
  <c r="G545" i="93"/>
  <c r="H545" i="93"/>
  <c r="G543" i="93"/>
  <c r="H543" i="93"/>
  <c r="G546" i="93"/>
  <c r="H546" i="93"/>
  <c r="F565" i="93"/>
  <c r="E565" i="93"/>
  <c r="D565" i="93"/>
  <c r="C565" i="93"/>
  <c r="T540" i="93"/>
  <c r="S540" i="93"/>
  <c r="T539" i="93"/>
  <c r="S539" i="93"/>
  <c r="T538" i="93"/>
  <c r="S538" i="93"/>
  <c r="T537" i="93"/>
  <c r="S537" i="93"/>
  <c r="T536" i="93"/>
  <c r="S536" i="93"/>
  <c r="T535" i="93"/>
  <c r="S535" i="93"/>
  <c r="T534" i="93"/>
  <c r="S541" i="93" s="1"/>
  <c r="S534" i="93"/>
  <c r="T533" i="93"/>
  <c r="S533" i="93"/>
  <c r="T532" i="93"/>
  <c r="S532" i="93"/>
  <c r="G533" i="93"/>
  <c r="G532" i="93"/>
  <c r="H532" i="93"/>
  <c r="H533" i="93"/>
  <c r="G534" i="93"/>
  <c r="H534" i="93"/>
  <c r="H535" i="93"/>
  <c r="H536" i="93"/>
  <c r="H537" i="93"/>
  <c r="G538" i="93"/>
  <c r="H538" i="93"/>
  <c r="G539" i="93"/>
  <c r="H539" i="93"/>
  <c r="G540" i="93"/>
  <c r="H540" i="93"/>
  <c r="C540" i="93"/>
  <c r="A540" i="93" s="1"/>
  <c r="D540" i="93"/>
  <c r="E540" i="93"/>
  <c r="F540" i="93"/>
  <c r="T526" i="93"/>
  <c r="S526" i="93"/>
  <c r="T525" i="93"/>
  <c r="S525" i="93"/>
  <c r="T524" i="93"/>
  <c r="S524" i="93"/>
  <c r="T523" i="93"/>
  <c r="S523" i="93"/>
  <c r="S527" i="93" s="1"/>
  <c r="T522" i="93"/>
  <c r="S522" i="93"/>
  <c r="T521" i="93"/>
  <c r="S521" i="93"/>
  <c r="G522" i="93"/>
  <c r="H522" i="93"/>
  <c r="G523" i="93"/>
  <c r="H523" i="93"/>
  <c r="G524" i="93"/>
  <c r="H524" i="93"/>
  <c r="G525" i="93"/>
  <c r="H525" i="93"/>
  <c r="G526" i="93"/>
  <c r="U526" i="93" s="1"/>
  <c r="H526" i="93"/>
  <c r="T518" i="93"/>
  <c r="S519" i="93" s="1"/>
  <c r="S518" i="93"/>
  <c r="T517" i="93"/>
  <c r="S517" i="93"/>
  <c r="T516" i="93"/>
  <c r="S515" i="93"/>
  <c r="T515" i="93"/>
  <c r="S516"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G519" i="93" s="1"/>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2" i="93"/>
  <c r="G513" i="93" s="1"/>
  <c r="H502" i="93"/>
  <c r="G504" i="93"/>
  <c r="H504" i="93"/>
  <c r="G505" i="93"/>
  <c r="H505" i="93"/>
  <c r="G506" i="93"/>
  <c r="H506" i="93"/>
  <c r="G507" i="93"/>
  <c r="H507" i="93"/>
  <c r="G508" i="93"/>
  <c r="H508" i="93"/>
  <c r="G509" i="93"/>
  <c r="H509" i="93"/>
  <c r="G510" i="93"/>
  <c r="H510" i="93"/>
  <c r="G511" i="93"/>
  <c r="H511" i="93"/>
  <c r="G512" i="93"/>
  <c r="H512" i="93"/>
  <c r="C512" i="93"/>
  <c r="T499" i="93"/>
  <c r="S500" i="93" s="1"/>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M500" i="93" s="1"/>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J500" i="93" s="1"/>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F546" i="93"/>
  <c r="E546" i="93"/>
  <c r="D546" i="93"/>
  <c r="C546" i="93"/>
  <c r="F539" i="93"/>
  <c r="E539" i="93"/>
  <c r="D539" i="93"/>
  <c r="C539" i="93"/>
  <c r="F526" i="93"/>
  <c r="E526" i="93"/>
  <c r="D526" i="93"/>
  <c r="C526" i="93"/>
  <c r="H521" i="93"/>
  <c r="G521" i="93"/>
  <c r="F499" i="93"/>
  <c r="E499" i="93"/>
  <c r="D499" i="93"/>
  <c r="C499" i="93"/>
  <c r="F498" i="93"/>
  <c r="E498" i="93"/>
  <c r="D498" i="93"/>
  <c r="C498" i="93"/>
  <c r="F512" i="93"/>
  <c r="E512" i="93"/>
  <c r="D512" i="93"/>
  <c r="E518" i="93"/>
  <c r="H515" i="93"/>
  <c r="G515" i="93"/>
  <c r="H488" i="93"/>
  <c r="G488" i="93"/>
  <c r="T483" i="93"/>
  <c r="S483" i="93"/>
  <c r="Q483" i="93"/>
  <c r="P483" i="93"/>
  <c r="N483" i="93"/>
  <c r="M483" i="93"/>
  <c r="K483" i="93"/>
  <c r="T473" i="93"/>
  <c r="S473" i="93"/>
  <c r="T472" i="93"/>
  <c r="S472" i="93"/>
  <c r="T471" i="93"/>
  <c r="S471" i="93"/>
  <c r="Q473" i="93"/>
  <c r="P473" i="93"/>
  <c r="Q472" i="93"/>
  <c r="P471" i="93"/>
  <c r="Q471" i="93"/>
  <c r="P474" i="93" s="1"/>
  <c r="P472" i="93"/>
  <c r="N473" i="93"/>
  <c r="M473" i="93"/>
  <c r="N472" i="93"/>
  <c r="M472" i="93"/>
  <c r="M474" i="93" s="1"/>
  <c r="N471" i="93"/>
  <c r="M471" i="93"/>
  <c r="K473" i="93"/>
  <c r="K472" i="93"/>
  <c r="K471" i="93"/>
  <c r="H472" i="93"/>
  <c r="H473" i="93"/>
  <c r="T468" i="93"/>
  <c r="S468" i="93"/>
  <c r="T467" i="93"/>
  <c r="S467" i="93"/>
  <c r="S469" i="93" s="1"/>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J469" i="93" s="1"/>
  <c r="K466" i="93"/>
  <c r="J465" i="93"/>
  <c r="K465" i="93"/>
  <c r="J466" i="93"/>
  <c r="G466" i="93"/>
  <c r="H466" i="93"/>
  <c r="G467" i="93"/>
  <c r="H467" i="93"/>
  <c r="G468" i="93"/>
  <c r="H468" i="93"/>
  <c r="T462" i="93"/>
  <c r="S462" i="93"/>
  <c r="T461" i="93"/>
  <c r="S463" i="93" s="1"/>
  <c r="S461" i="93"/>
  <c r="K462" i="93"/>
  <c r="J462" i="93"/>
  <c r="K461" i="93"/>
  <c r="J461" i="93"/>
  <c r="G462" i="93"/>
  <c r="H462" i="93"/>
  <c r="M458" i="93"/>
  <c r="M459" i="93" s="1"/>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K452" i="93"/>
  <c r="J452" i="93"/>
  <c r="K451" i="93"/>
  <c r="J451" i="93"/>
  <c r="K450" i="93"/>
  <c r="J450" i="93"/>
  <c r="K449" i="93"/>
  <c r="J449" i="93"/>
  <c r="K448" i="93"/>
  <c r="J448" i="93"/>
  <c r="K447" i="93"/>
  <c r="J447" i="93"/>
  <c r="K446" i="93"/>
  <c r="J446" i="93"/>
  <c r="K445" i="93"/>
  <c r="J445" i="93"/>
  <c r="J444" i="93"/>
  <c r="K444" i="93"/>
  <c r="G445" i="93"/>
  <c r="H445" i="93"/>
  <c r="G446" i="93"/>
  <c r="H446" i="93"/>
  <c r="G447" i="93"/>
  <c r="H447" i="93"/>
  <c r="H448" i="93"/>
  <c r="G449" i="93"/>
  <c r="H449" i="93"/>
  <c r="G450" i="93"/>
  <c r="C450" i="93"/>
  <c r="H450" i="93"/>
  <c r="G451" i="93"/>
  <c r="U451" i="93" s="1"/>
  <c r="C451" i="93"/>
  <c r="H451" i="93"/>
  <c r="G452" i="93"/>
  <c r="C452" i="93"/>
  <c r="H452" i="93"/>
  <c r="D451" i="93"/>
  <c r="E451" i="93"/>
  <c r="F451"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G469" i="93" s="1"/>
  <c r="G465" i="93"/>
  <c r="N461" i="93"/>
  <c r="M461" i="93"/>
  <c r="M463" i="93" s="1"/>
  <c r="H461" i="93"/>
  <c r="G461" i="93"/>
  <c r="F461" i="93" s="1"/>
  <c r="N457" i="93"/>
  <c r="M457" i="93"/>
  <c r="F450" i="93"/>
  <c r="E450" i="93"/>
  <c r="D450" i="93"/>
  <c r="H455" i="93"/>
  <c r="G455" i="93"/>
  <c r="H444" i="93"/>
  <c r="G444" i="93"/>
  <c r="E517" i="93"/>
  <c r="J602" i="93"/>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48" i="75" s="1"/>
  <c r="L118" i="75" s="1"/>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48" i="75" s="1"/>
  <c r="N118" i="75" s="1"/>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W563" i="93"/>
  <c r="O563" i="93"/>
  <c r="V562" i="93"/>
  <c r="W555" i="93"/>
  <c r="O555" i="93"/>
  <c r="V554" i="93"/>
  <c r="G118" i="93"/>
  <c r="F552" i="93" s="1"/>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DD10" i="75"/>
  <c r="DD11" i="75"/>
  <c r="DD12" i="75"/>
  <c r="DD17" i="75"/>
  <c r="DD18" i="75"/>
  <c r="DD19" i="75"/>
  <c r="DD24" i="75"/>
  <c r="DD25" i="75"/>
  <c r="DD26" i="75"/>
  <c r="DI10" i="75"/>
  <c r="DI11" i="75"/>
  <c r="DI12" i="75"/>
  <c r="DI17" i="75"/>
  <c r="DI18" i="75"/>
  <c r="DI19" i="75"/>
  <c r="DI24" i="75"/>
  <c r="DI25" i="75"/>
  <c r="DI26" i="75"/>
  <c r="DN10" i="75"/>
  <c r="DN11" i="75"/>
  <c r="DN12" i="75"/>
  <c r="DN17" i="75"/>
  <c r="DN18" i="75"/>
  <c r="DN19" i="75"/>
  <c r="DN24" i="75"/>
  <c r="DN25" i="75"/>
  <c r="DN26" i="75"/>
  <c r="DE10" i="75"/>
  <c r="DE11" i="75"/>
  <c r="DE12" i="75"/>
  <c r="DE17" i="75"/>
  <c r="DE18" i="75"/>
  <c r="DE19" i="75"/>
  <c r="DE24" i="75"/>
  <c r="DE25" i="75"/>
  <c r="DE26" i="75"/>
  <c r="DJ10" i="75"/>
  <c r="DJ11" i="75"/>
  <c r="DJ12" i="75"/>
  <c r="DJ48" i="75" s="1"/>
  <c r="K73" i="75" s="1"/>
  <c r="DJ17" i="75"/>
  <c r="DJ18" i="75"/>
  <c r="DJ19" i="75"/>
  <c r="DJ24" i="75"/>
  <c r="DJ25" i="75"/>
  <c r="DJ26" i="75"/>
  <c r="DO10" i="75"/>
  <c r="DO11" i="75"/>
  <c r="DO48" i="75" s="1"/>
  <c r="DO12" i="75"/>
  <c r="DO17" i="75"/>
  <c r="DO18" i="75"/>
  <c r="DO19" i="75"/>
  <c r="DO24" i="75"/>
  <c r="DO25" i="75"/>
  <c r="DO26" i="75"/>
  <c r="DF10" i="75"/>
  <c r="DF11" i="75"/>
  <c r="DF12" i="75"/>
  <c r="DF17" i="75"/>
  <c r="DF18" i="75"/>
  <c r="DF19" i="75"/>
  <c r="DF24" i="75"/>
  <c r="DF25" i="75"/>
  <c r="DF26" i="75"/>
  <c r="DK10" i="75"/>
  <c r="DK11" i="75"/>
  <c r="DK12" i="75"/>
  <c r="DK17" i="75"/>
  <c r="DK18" i="75"/>
  <c r="DK19" i="75"/>
  <c r="DK24" i="75"/>
  <c r="DK25" i="75"/>
  <c r="DK26" i="75"/>
  <c r="DP10" i="75"/>
  <c r="DP11" i="75"/>
  <c r="DP12" i="75"/>
  <c r="DP17" i="75"/>
  <c r="DP18" i="75"/>
  <c r="DP19" i="75"/>
  <c r="DP24" i="75"/>
  <c r="DP25" i="75"/>
  <c r="DP26" i="75"/>
  <c r="DG10" i="75"/>
  <c r="DG11" i="75"/>
  <c r="DG12" i="75"/>
  <c r="DG17" i="75"/>
  <c r="DG18" i="75"/>
  <c r="DG19" i="75"/>
  <c r="DG24" i="75"/>
  <c r="DG25" i="75"/>
  <c r="DG26" i="75"/>
  <c r="DL10" i="75"/>
  <c r="DL11" i="75"/>
  <c r="DL12" i="75"/>
  <c r="DL17" i="75"/>
  <c r="DL18" i="75"/>
  <c r="DL19" i="75"/>
  <c r="DL24" i="75"/>
  <c r="DL25" i="75"/>
  <c r="DL26" i="75"/>
  <c r="DQ10" i="75"/>
  <c r="DQ11" i="75"/>
  <c r="DQ12" i="75"/>
  <c r="DQ17" i="75"/>
  <c r="DQ18" i="75"/>
  <c r="DQ19" i="75"/>
  <c r="DQ24" i="75"/>
  <c r="DQ25" i="75"/>
  <c r="DQ26" i="75"/>
  <c r="DH10" i="75"/>
  <c r="DH11" i="75"/>
  <c r="DH12" i="75"/>
  <c r="DH48" i="75" s="1"/>
  <c r="N72" i="75" s="1"/>
  <c r="DH17" i="75"/>
  <c r="DH18" i="75"/>
  <c r="DH19" i="75"/>
  <c r="DH24" i="75"/>
  <c r="DH25" i="75"/>
  <c r="DH26" i="75"/>
  <c r="DM10" i="75"/>
  <c r="DM11" i="75"/>
  <c r="DM48" i="75" s="1"/>
  <c r="N73" i="75" s="1"/>
  <c r="DM12" i="75"/>
  <c r="DM17" i="75"/>
  <c r="DM18" i="75"/>
  <c r="DM19" i="75"/>
  <c r="DM24" i="75"/>
  <c r="DM25" i="75"/>
  <c r="DM26" i="75"/>
  <c r="DR10" i="75"/>
  <c r="DR11" i="75"/>
  <c r="DR12" i="75"/>
  <c r="DR17" i="75"/>
  <c r="DR18" i="75"/>
  <c r="DR19" i="75"/>
  <c r="DR24" i="75"/>
  <c r="DR25" i="75"/>
  <c r="DR26" i="75"/>
  <c r="DS10" i="75"/>
  <c r="DS11" i="75"/>
  <c r="DS12" i="75"/>
  <c r="DS17" i="75"/>
  <c r="DS18" i="75"/>
  <c r="DS19" i="75"/>
  <c r="DS24" i="75"/>
  <c r="DS25" i="75"/>
  <c r="DS26" i="75"/>
  <c r="DX10" i="75"/>
  <c r="DX11" i="75"/>
  <c r="DX12" i="75"/>
  <c r="DX17" i="75"/>
  <c r="DX18" i="75"/>
  <c r="DX19" i="75"/>
  <c r="DX24" i="75"/>
  <c r="DX25" i="75"/>
  <c r="DX26" i="75"/>
  <c r="EC10" i="75"/>
  <c r="EC11" i="75"/>
  <c r="EC12" i="75"/>
  <c r="EC17" i="75"/>
  <c r="EC18" i="75"/>
  <c r="EC19" i="75"/>
  <c r="EC24" i="75"/>
  <c r="EC25" i="75"/>
  <c r="EC26" i="75"/>
  <c r="DT10" i="75"/>
  <c r="DT11" i="75"/>
  <c r="DT12" i="75"/>
  <c r="DT17" i="75"/>
  <c r="DT18" i="75"/>
  <c r="DT19" i="75"/>
  <c r="DT24" i="75"/>
  <c r="DT25" i="75"/>
  <c r="DT26" i="75"/>
  <c r="DY10" i="75"/>
  <c r="DY11" i="75"/>
  <c r="DY12" i="75"/>
  <c r="DY17" i="75"/>
  <c r="DY18" i="75"/>
  <c r="DY19" i="75"/>
  <c r="DY24" i="75"/>
  <c r="DY25" i="75"/>
  <c r="DY26" i="75"/>
  <c r="ED10" i="75"/>
  <c r="ED11" i="75"/>
  <c r="ED12" i="75"/>
  <c r="ED17" i="75"/>
  <c r="ED18" i="75"/>
  <c r="ED19" i="75"/>
  <c r="ED24" i="75"/>
  <c r="ED25" i="75"/>
  <c r="ED26" i="75"/>
  <c r="DU10" i="75"/>
  <c r="DU11" i="75"/>
  <c r="DU48" i="75" s="1"/>
  <c r="L75" i="75" s="1"/>
  <c r="DU12" i="75"/>
  <c r="DU17" i="75"/>
  <c r="DU18" i="75"/>
  <c r="DU19" i="75"/>
  <c r="DU24" i="75"/>
  <c r="DU25" i="75"/>
  <c r="DU26" i="75"/>
  <c r="DZ10" i="75"/>
  <c r="DZ11" i="75"/>
  <c r="DZ12" i="75"/>
  <c r="DZ17" i="75"/>
  <c r="DZ18" i="75"/>
  <c r="DZ19" i="75"/>
  <c r="DZ24" i="75"/>
  <c r="DZ25" i="75"/>
  <c r="DZ26" i="75"/>
  <c r="EE10" i="75"/>
  <c r="EE11" i="75"/>
  <c r="EE12" i="75"/>
  <c r="EE17" i="75"/>
  <c r="EE18" i="75"/>
  <c r="EE19" i="75"/>
  <c r="EE24" i="75"/>
  <c r="EE25" i="75"/>
  <c r="EE26" i="75"/>
  <c r="DV10" i="75"/>
  <c r="DV11" i="75"/>
  <c r="DV12" i="75"/>
  <c r="DV17" i="75"/>
  <c r="DV18" i="75"/>
  <c r="DV19" i="75"/>
  <c r="DV24" i="75"/>
  <c r="DV25" i="75"/>
  <c r="DV26" i="75"/>
  <c r="EA10" i="75"/>
  <c r="EA11" i="75"/>
  <c r="EA12" i="75"/>
  <c r="EA17" i="75"/>
  <c r="EA18" i="75"/>
  <c r="EA19" i="75"/>
  <c r="EA24" i="75"/>
  <c r="EA25" i="75"/>
  <c r="EA26" i="75"/>
  <c r="EF10" i="75"/>
  <c r="EF11" i="75"/>
  <c r="EF12" i="75"/>
  <c r="EF17" i="75"/>
  <c r="EF18" i="75"/>
  <c r="EF48" i="75" s="1"/>
  <c r="EF19" i="75"/>
  <c r="EF24" i="75"/>
  <c r="EF25" i="75"/>
  <c r="EF26" i="75"/>
  <c r="DW10" i="75"/>
  <c r="DW11" i="75"/>
  <c r="DW12" i="75"/>
  <c r="DW17" i="75"/>
  <c r="DW18" i="75"/>
  <c r="DW19" i="75"/>
  <c r="DW24" i="75"/>
  <c r="DW25" i="75"/>
  <c r="DW26" i="75"/>
  <c r="EB10" i="75"/>
  <c r="EB11" i="75"/>
  <c r="EB12" i="75"/>
  <c r="EB48" i="75" s="1"/>
  <c r="N76" i="75" s="1"/>
  <c r="EB17" i="75"/>
  <c r="EB18" i="75"/>
  <c r="EB19" i="75"/>
  <c r="EB24" i="75"/>
  <c r="EB25" i="75"/>
  <c r="EB26" i="75"/>
  <c r="EG10" i="75"/>
  <c r="EG11" i="75"/>
  <c r="EG12" i="75"/>
  <c r="EG17" i="75"/>
  <c r="EG18" i="75"/>
  <c r="EG19" i="75"/>
  <c r="EG24" i="75"/>
  <c r="EG25" i="75"/>
  <c r="EG26" i="75"/>
  <c r="EH10" i="75"/>
  <c r="EH11" i="75"/>
  <c r="EH12" i="75"/>
  <c r="EH17" i="75"/>
  <c r="EH18" i="75"/>
  <c r="EH19" i="75"/>
  <c r="EH24" i="75"/>
  <c r="EH25" i="75"/>
  <c r="EH26" i="75"/>
  <c r="EM10" i="75"/>
  <c r="EM11" i="75"/>
  <c r="EM12" i="75"/>
  <c r="EM17" i="75"/>
  <c r="EM18" i="75"/>
  <c r="EM19" i="75"/>
  <c r="EM24" i="75"/>
  <c r="EM25" i="75"/>
  <c r="EM26" i="75"/>
  <c r="ER10" i="75"/>
  <c r="ER11" i="75"/>
  <c r="ER12" i="75"/>
  <c r="ER17" i="75"/>
  <c r="ER18" i="75"/>
  <c r="ER19" i="75"/>
  <c r="ER24" i="75"/>
  <c r="ER25" i="75"/>
  <c r="ER26" i="75"/>
  <c r="EI10" i="75"/>
  <c r="EI11" i="75"/>
  <c r="EI12" i="75"/>
  <c r="EI17" i="75"/>
  <c r="EI18" i="75"/>
  <c r="EI19" i="75"/>
  <c r="EI24" i="75"/>
  <c r="EI25" i="75"/>
  <c r="EI26" i="75"/>
  <c r="EN10" i="75"/>
  <c r="EN11" i="75"/>
  <c r="EN12" i="75"/>
  <c r="EN17" i="75"/>
  <c r="EN18" i="75"/>
  <c r="EN19" i="75"/>
  <c r="EN24" i="75"/>
  <c r="EN25" i="75"/>
  <c r="EN26" i="75"/>
  <c r="ES10" i="75"/>
  <c r="ES11" i="75"/>
  <c r="ES12" i="75"/>
  <c r="ES17" i="75"/>
  <c r="ES18" i="75"/>
  <c r="ES19" i="75"/>
  <c r="ES24" i="75"/>
  <c r="ES25" i="75"/>
  <c r="ES26" i="75"/>
  <c r="EJ10" i="75"/>
  <c r="EJ11" i="75"/>
  <c r="EJ12" i="75"/>
  <c r="EJ48" i="75" s="1"/>
  <c r="L78" i="75" s="1"/>
  <c r="EJ17" i="75"/>
  <c r="EJ18" i="75"/>
  <c r="EJ19" i="75"/>
  <c r="EJ24" i="75"/>
  <c r="EJ25" i="75"/>
  <c r="EJ26" i="75"/>
  <c r="EO10" i="75"/>
  <c r="EO11" i="75"/>
  <c r="EO48" i="75" s="1"/>
  <c r="L79" i="75" s="1"/>
  <c r="EO12" i="75"/>
  <c r="EO17" i="75"/>
  <c r="EO18" i="75"/>
  <c r="EO19" i="75"/>
  <c r="EO24" i="75"/>
  <c r="EO25" i="75"/>
  <c r="EO26" i="75"/>
  <c r="ET10" i="75"/>
  <c r="ET11" i="75"/>
  <c r="ET12" i="75"/>
  <c r="ET17" i="75"/>
  <c r="ET18" i="75"/>
  <c r="ET19" i="75"/>
  <c r="ET24" i="75"/>
  <c r="ET25" i="75"/>
  <c r="ET26" i="75"/>
  <c r="EK10" i="75"/>
  <c r="EK11" i="75"/>
  <c r="EK12" i="75"/>
  <c r="EK17" i="75"/>
  <c r="EK18" i="75"/>
  <c r="EK19" i="75"/>
  <c r="EK24" i="75"/>
  <c r="EK25" i="75"/>
  <c r="EK26" i="75"/>
  <c r="EP10" i="75"/>
  <c r="EP11" i="75"/>
  <c r="EP12" i="75"/>
  <c r="EP17" i="75"/>
  <c r="EP18" i="75"/>
  <c r="EP19" i="75"/>
  <c r="EP24" i="75"/>
  <c r="EP25" i="75"/>
  <c r="EP26" i="75"/>
  <c r="EU10" i="75"/>
  <c r="EU11" i="75"/>
  <c r="EU12" i="75"/>
  <c r="EU17" i="75"/>
  <c r="EU18" i="75"/>
  <c r="EU19" i="75"/>
  <c r="EU24" i="75"/>
  <c r="EU25" i="75"/>
  <c r="EU26" i="75"/>
  <c r="EL10" i="75"/>
  <c r="EL11" i="75"/>
  <c r="EL12" i="75"/>
  <c r="EL17" i="75"/>
  <c r="EL18" i="75"/>
  <c r="EL19" i="75"/>
  <c r="EL24" i="75"/>
  <c r="EL25" i="75"/>
  <c r="EL26" i="75"/>
  <c r="EQ10" i="75"/>
  <c r="EQ11" i="75"/>
  <c r="EQ12" i="75"/>
  <c r="EQ17" i="75"/>
  <c r="EQ18" i="75"/>
  <c r="EQ19" i="75"/>
  <c r="EQ24" i="75"/>
  <c r="EQ25" i="75"/>
  <c r="EQ26" i="75"/>
  <c r="EV10" i="75"/>
  <c r="EV11" i="75"/>
  <c r="EV12" i="75"/>
  <c r="EV48" i="75" s="1"/>
  <c r="EV17" i="75"/>
  <c r="EV18" i="75"/>
  <c r="EV19" i="75"/>
  <c r="EV24" i="75"/>
  <c r="EV25" i="75"/>
  <c r="EV26" i="75"/>
  <c r="W482" i="93"/>
  <c r="O482" i="93"/>
  <c r="W476" i="93"/>
  <c r="O476" i="93"/>
  <c r="V474" i="93"/>
  <c r="D471" i="93"/>
  <c r="D472" i="93"/>
  <c r="D473" i="93"/>
  <c r="G33" i="93"/>
  <c r="F472" i="93" s="1"/>
  <c r="F471" i="93"/>
  <c r="F470" i="93" s="1"/>
  <c r="W470" i="93"/>
  <c r="O470" i="93"/>
  <c r="V469" i="93"/>
  <c r="W464" i="93"/>
  <c r="O464" i="93"/>
  <c r="V463" i="93"/>
  <c r="V453" i="93"/>
  <c r="V459" i="93"/>
  <c r="W460" i="93"/>
  <c r="O460" i="93"/>
  <c r="W454" i="93"/>
  <c r="O454"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364"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48" i="75" s="1"/>
  <c r="K64" i="75" s="1"/>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48" i="75" s="1"/>
  <c r="L64" i="75" s="1"/>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48" i="75" s="1"/>
  <c r="N64" i="75" s="1"/>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48" i="75" s="1"/>
  <c r="J65" i="75" s="1"/>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48" i="75" s="1"/>
  <c r="K65" i="75" s="1"/>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48" i="75" s="1"/>
  <c r="L65" i="75" s="1"/>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48" i="75" s="1"/>
  <c r="N65" i="75" s="1"/>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13" i="75"/>
  <c r="DS14" i="75"/>
  <c r="DS15" i="75"/>
  <c r="DS16" i="75"/>
  <c r="DS48" i="75" s="1"/>
  <c r="J75" i="75" s="1"/>
  <c r="DS20" i="75"/>
  <c r="DS21" i="75"/>
  <c r="DS22" i="75"/>
  <c r="DS23" i="75"/>
  <c r="DS27" i="75"/>
  <c r="DS28" i="75"/>
  <c r="DS29" i="75"/>
  <c r="DS30" i="75"/>
  <c r="DS31" i="75"/>
  <c r="DS32" i="75"/>
  <c r="DS33" i="75"/>
  <c r="DS34" i="75"/>
  <c r="DS35" i="75"/>
  <c r="DS36" i="75"/>
  <c r="DS37" i="75"/>
  <c r="DS38" i="75"/>
  <c r="DS39" i="75"/>
  <c r="DS40" i="75"/>
  <c r="DS41" i="75"/>
  <c r="DS42" i="75"/>
  <c r="DS43" i="75"/>
  <c r="DS44" i="75"/>
  <c r="DS45" i="75"/>
  <c r="DS46" i="75"/>
  <c r="DS47" i="75"/>
  <c r="DX13" i="75"/>
  <c r="DX14" i="75"/>
  <c r="DX48" i="75" s="1"/>
  <c r="J76" i="75" s="1"/>
  <c r="DX15" i="75"/>
  <c r="DX16" i="75"/>
  <c r="DX20" i="75"/>
  <c r="DX21" i="75"/>
  <c r="DX22" i="75"/>
  <c r="DX23" i="75"/>
  <c r="DX27" i="75"/>
  <c r="DX28" i="75"/>
  <c r="DX29" i="75"/>
  <c r="DX30" i="75"/>
  <c r="DX31" i="75"/>
  <c r="DX32" i="75"/>
  <c r="DX33" i="75"/>
  <c r="DX34" i="75"/>
  <c r="DX35" i="75"/>
  <c r="DX36" i="75"/>
  <c r="DX37" i="75"/>
  <c r="DX38" i="75"/>
  <c r="DX39" i="75"/>
  <c r="DX40" i="75"/>
  <c r="DX41" i="75"/>
  <c r="DX42" i="75"/>
  <c r="DX43" i="75"/>
  <c r="DX44" i="75"/>
  <c r="DX45" i="75"/>
  <c r="DX46" i="75"/>
  <c r="DX47" i="75"/>
  <c r="EC13" i="75"/>
  <c r="EC14" i="75"/>
  <c r="EC15" i="75"/>
  <c r="EC16" i="75"/>
  <c r="EC20" i="75"/>
  <c r="EC48" i="75" s="1"/>
  <c r="EC21" i="75"/>
  <c r="EC22" i="75"/>
  <c r="EC23" i="75"/>
  <c r="EC27" i="75"/>
  <c r="EC28" i="75"/>
  <c r="EC29" i="75"/>
  <c r="EC30" i="75"/>
  <c r="EC31" i="75"/>
  <c r="EC32" i="75"/>
  <c r="EC33" i="75"/>
  <c r="EC34" i="75"/>
  <c r="EC35" i="75"/>
  <c r="EC36" i="75"/>
  <c r="EC37" i="75"/>
  <c r="EC38" i="75"/>
  <c r="EC39" i="75"/>
  <c r="EC40" i="75"/>
  <c r="EC41" i="75"/>
  <c r="EC42" i="75"/>
  <c r="EC43" i="75"/>
  <c r="EC44" i="75"/>
  <c r="EC45" i="75"/>
  <c r="EC46" i="75"/>
  <c r="EC47" i="75"/>
  <c r="DT13" i="75"/>
  <c r="DT14" i="75"/>
  <c r="DT15" i="75"/>
  <c r="DT16" i="75"/>
  <c r="DT20" i="75"/>
  <c r="DT21" i="75"/>
  <c r="DT22" i="75"/>
  <c r="DT23" i="75"/>
  <c r="DT27" i="75"/>
  <c r="DT28" i="75"/>
  <c r="DT29" i="75"/>
  <c r="DT30" i="75"/>
  <c r="DT31" i="75"/>
  <c r="DT32" i="75"/>
  <c r="DT33" i="75"/>
  <c r="DT34" i="75"/>
  <c r="DT35" i="75"/>
  <c r="DT36" i="75"/>
  <c r="DT37" i="75"/>
  <c r="DT38" i="75"/>
  <c r="DT39" i="75"/>
  <c r="DT40" i="75"/>
  <c r="DT41" i="75"/>
  <c r="DT42" i="75"/>
  <c r="DT43" i="75"/>
  <c r="DT44" i="75"/>
  <c r="DT45" i="75"/>
  <c r="DT46" i="75"/>
  <c r="DT47" i="75"/>
  <c r="DY13" i="75"/>
  <c r="DY14" i="75"/>
  <c r="DY15" i="75"/>
  <c r="DY16" i="75"/>
  <c r="DY20" i="75"/>
  <c r="DY21" i="75"/>
  <c r="DY22" i="75"/>
  <c r="DY23" i="75"/>
  <c r="DY27" i="75"/>
  <c r="DY28" i="75"/>
  <c r="DY29" i="75"/>
  <c r="DY30" i="75"/>
  <c r="DY31" i="75"/>
  <c r="DY32" i="75"/>
  <c r="DY33" i="75"/>
  <c r="DY34" i="75"/>
  <c r="DY35" i="75"/>
  <c r="DY36" i="75"/>
  <c r="DY37" i="75"/>
  <c r="DY38" i="75"/>
  <c r="DY39" i="75"/>
  <c r="DY40" i="75"/>
  <c r="DY41" i="75"/>
  <c r="DY42" i="75"/>
  <c r="DY43" i="75"/>
  <c r="DY44" i="75"/>
  <c r="DY45" i="75"/>
  <c r="DY46" i="75"/>
  <c r="DY47" i="75"/>
  <c r="ED13" i="75"/>
  <c r="ED14" i="75"/>
  <c r="ED15" i="75"/>
  <c r="ED16" i="75"/>
  <c r="ED20" i="75"/>
  <c r="ED21" i="75"/>
  <c r="ED22" i="75"/>
  <c r="ED23" i="75"/>
  <c r="ED27" i="75"/>
  <c r="ED28" i="75"/>
  <c r="ED29" i="75"/>
  <c r="ED30" i="75"/>
  <c r="ED31" i="75"/>
  <c r="ED32" i="75"/>
  <c r="ED33" i="75"/>
  <c r="ED34" i="75"/>
  <c r="ED35" i="75"/>
  <c r="ED36" i="75"/>
  <c r="ED37" i="75"/>
  <c r="ED38" i="75"/>
  <c r="ED39" i="75"/>
  <c r="ED40" i="75"/>
  <c r="ED41" i="75"/>
  <c r="ED42" i="75"/>
  <c r="ED43" i="75"/>
  <c r="ED44" i="75"/>
  <c r="ED45" i="75"/>
  <c r="ED46" i="75"/>
  <c r="ED47" i="75"/>
  <c r="DU13" i="75"/>
  <c r="DU14" i="75"/>
  <c r="DU15" i="75"/>
  <c r="DU16" i="75"/>
  <c r="DU20" i="75"/>
  <c r="DU21" i="75"/>
  <c r="DU22" i="75"/>
  <c r="DU23" i="75"/>
  <c r="DU27" i="75"/>
  <c r="DU28" i="75"/>
  <c r="DU29" i="75"/>
  <c r="DU30" i="75"/>
  <c r="DU31" i="75"/>
  <c r="DU32" i="75"/>
  <c r="DU33" i="75"/>
  <c r="DU34" i="75"/>
  <c r="DU35" i="75"/>
  <c r="DU36" i="75"/>
  <c r="DU37" i="75"/>
  <c r="DU38" i="75"/>
  <c r="DU39" i="75"/>
  <c r="DU40" i="75"/>
  <c r="DU41" i="75"/>
  <c r="DU42" i="75"/>
  <c r="DU43" i="75"/>
  <c r="DU44" i="75"/>
  <c r="DU45" i="75"/>
  <c r="DU46" i="75"/>
  <c r="DU47" i="75"/>
  <c r="DZ13" i="75"/>
  <c r="DZ48" i="75" s="1"/>
  <c r="L76" i="75" s="1"/>
  <c r="DZ14" i="75"/>
  <c r="DZ15" i="75"/>
  <c r="DZ16" i="75"/>
  <c r="DZ20" i="75"/>
  <c r="DZ21" i="75"/>
  <c r="DZ22" i="75"/>
  <c r="DZ23" i="75"/>
  <c r="DZ27" i="75"/>
  <c r="DZ28" i="75"/>
  <c r="DZ29" i="75"/>
  <c r="DZ30" i="75"/>
  <c r="DZ31" i="75"/>
  <c r="DZ32" i="75"/>
  <c r="DZ33" i="75"/>
  <c r="DZ34" i="75"/>
  <c r="DZ35" i="75"/>
  <c r="DZ36" i="75"/>
  <c r="DZ37" i="75"/>
  <c r="DZ38" i="75"/>
  <c r="DZ39" i="75"/>
  <c r="DZ40" i="75"/>
  <c r="DZ41" i="75"/>
  <c r="DZ42" i="75"/>
  <c r="DZ43" i="75"/>
  <c r="DZ44" i="75"/>
  <c r="DZ45" i="75"/>
  <c r="DZ46" i="75"/>
  <c r="DZ47" i="75"/>
  <c r="EE13" i="75"/>
  <c r="EE14" i="75"/>
  <c r="EE15" i="75"/>
  <c r="EE16" i="75"/>
  <c r="EE48" i="75" s="1"/>
  <c r="EE20" i="75"/>
  <c r="EE21" i="75"/>
  <c r="EE22" i="75"/>
  <c r="EE23" i="75"/>
  <c r="EE27" i="75"/>
  <c r="EE28" i="75"/>
  <c r="EE29" i="75"/>
  <c r="EE30" i="75"/>
  <c r="EE31" i="75"/>
  <c r="EE32" i="75"/>
  <c r="EE33" i="75"/>
  <c r="EE34" i="75"/>
  <c r="EE35" i="75"/>
  <c r="EE36" i="75"/>
  <c r="EE37" i="75"/>
  <c r="EE38" i="75"/>
  <c r="EE39" i="75"/>
  <c r="EE40" i="75"/>
  <c r="EE41" i="75"/>
  <c r="EE42" i="75"/>
  <c r="EE43" i="75"/>
  <c r="EE44" i="75"/>
  <c r="EE45" i="75"/>
  <c r="EE46" i="75"/>
  <c r="EE47" i="75"/>
  <c r="DV13" i="75"/>
  <c r="DV14" i="75"/>
  <c r="DV15" i="75"/>
  <c r="DV16" i="75"/>
  <c r="DV20" i="75"/>
  <c r="DV21" i="75"/>
  <c r="DV22" i="75"/>
  <c r="DV23" i="75"/>
  <c r="DV27" i="75"/>
  <c r="DV28" i="75"/>
  <c r="DV29" i="75"/>
  <c r="DV30" i="75"/>
  <c r="DV31" i="75"/>
  <c r="DV32" i="75"/>
  <c r="DV33" i="75"/>
  <c r="DV34" i="75"/>
  <c r="DV35" i="75"/>
  <c r="DV36" i="75"/>
  <c r="DV37" i="75"/>
  <c r="DV38" i="75"/>
  <c r="DV39" i="75"/>
  <c r="DV40" i="75"/>
  <c r="DV41" i="75"/>
  <c r="DV42" i="75"/>
  <c r="DV43" i="75"/>
  <c r="DV44" i="75"/>
  <c r="DV45" i="75"/>
  <c r="DV46" i="75"/>
  <c r="DV47" i="75"/>
  <c r="EA13" i="75"/>
  <c r="EA14" i="75"/>
  <c r="EA15" i="75"/>
  <c r="EA16" i="75"/>
  <c r="EA20" i="75"/>
  <c r="EA21" i="75"/>
  <c r="EA22" i="75"/>
  <c r="EA23" i="75"/>
  <c r="EA27" i="75"/>
  <c r="EA28" i="75"/>
  <c r="EA29" i="75"/>
  <c r="EA30" i="75"/>
  <c r="EA31" i="75"/>
  <c r="EA32" i="75"/>
  <c r="EA33" i="75"/>
  <c r="EA34" i="75"/>
  <c r="EA35" i="75"/>
  <c r="EA36" i="75"/>
  <c r="EA37" i="75"/>
  <c r="EA38" i="75"/>
  <c r="EA39" i="75"/>
  <c r="EA40" i="75"/>
  <c r="EA41" i="75"/>
  <c r="EA42" i="75"/>
  <c r="EA43" i="75"/>
  <c r="EA44" i="75"/>
  <c r="EA45" i="75"/>
  <c r="EA46" i="75"/>
  <c r="EA47" i="75"/>
  <c r="EF13" i="75"/>
  <c r="EF14" i="75"/>
  <c r="EF15" i="75"/>
  <c r="EF16" i="75"/>
  <c r="EF20" i="75"/>
  <c r="EF21" i="75"/>
  <c r="EF22" i="75"/>
  <c r="EF23" i="75"/>
  <c r="EF27" i="75"/>
  <c r="EF28" i="75"/>
  <c r="EF29" i="75"/>
  <c r="EF30" i="75"/>
  <c r="EF31" i="75"/>
  <c r="EF32" i="75"/>
  <c r="EF33" i="75"/>
  <c r="EF34" i="75"/>
  <c r="EF35" i="75"/>
  <c r="EF36" i="75"/>
  <c r="EF37" i="75"/>
  <c r="EF38" i="75"/>
  <c r="EF39" i="75"/>
  <c r="EF40" i="75"/>
  <c r="EF41" i="75"/>
  <c r="EF42" i="75"/>
  <c r="EF43" i="75"/>
  <c r="EF44" i="75"/>
  <c r="EF45" i="75"/>
  <c r="EF46" i="75"/>
  <c r="EF47" i="75"/>
  <c r="DW13" i="75"/>
  <c r="DW14" i="75"/>
  <c r="DW15" i="75"/>
  <c r="DW16" i="75"/>
  <c r="DW20" i="75"/>
  <c r="DW21" i="75"/>
  <c r="DW22" i="75"/>
  <c r="DW23" i="75"/>
  <c r="DW27" i="75"/>
  <c r="DW28" i="75"/>
  <c r="DW29" i="75"/>
  <c r="DW30" i="75"/>
  <c r="DW31" i="75"/>
  <c r="DW32" i="75"/>
  <c r="DW33" i="75"/>
  <c r="DW34" i="75"/>
  <c r="DW35" i="75"/>
  <c r="DW36" i="75"/>
  <c r="DW37" i="75"/>
  <c r="DW38" i="75"/>
  <c r="DW39" i="75"/>
  <c r="DW40" i="75"/>
  <c r="DW41" i="75"/>
  <c r="DW42" i="75"/>
  <c r="DW43" i="75"/>
  <c r="DW44" i="75"/>
  <c r="DW45" i="75"/>
  <c r="DW46" i="75"/>
  <c r="DW47" i="75"/>
  <c r="EB13" i="75"/>
  <c r="EB14" i="75"/>
  <c r="EB15" i="75"/>
  <c r="EB16" i="75"/>
  <c r="EB20" i="75"/>
  <c r="EB21" i="75"/>
  <c r="EB22" i="75"/>
  <c r="EB23" i="75"/>
  <c r="EB27" i="75"/>
  <c r="EB28" i="75"/>
  <c r="EB29" i="75"/>
  <c r="EB30" i="75"/>
  <c r="EB31" i="75"/>
  <c r="EB32" i="75"/>
  <c r="EB33" i="75"/>
  <c r="EB34" i="75"/>
  <c r="EB35" i="75"/>
  <c r="EB36" i="75"/>
  <c r="EB37" i="75"/>
  <c r="EB38" i="75"/>
  <c r="EB39" i="75"/>
  <c r="EB40" i="75"/>
  <c r="EB41" i="75"/>
  <c r="EB42" i="75"/>
  <c r="EB43" i="75"/>
  <c r="EB44" i="75"/>
  <c r="EB45" i="75"/>
  <c r="EB46" i="75"/>
  <c r="EB47" i="75"/>
  <c r="EG13" i="75"/>
  <c r="EG14" i="75"/>
  <c r="EG15" i="75"/>
  <c r="EG16" i="75"/>
  <c r="EG20" i="75"/>
  <c r="EG21" i="75"/>
  <c r="EG22" i="75"/>
  <c r="EG23" i="75"/>
  <c r="EG27" i="75"/>
  <c r="EG28" i="75"/>
  <c r="EG29" i="75"/>
  <c r="EG30" i="75"/>
  <c r="EG31" i="75"/>
  <c r="EG32" i="75"/>
  <c r="EG33" i="75"/>
  <c r="EG34" i="75"/>
  <c r="EG35" i="75"/>
  <c r="EG36" i="75"/>
  <c r="EG37" i="75"/>
  <c r="EG38" i="75"/>
  <c r="EG39" i="75"/>
  <c r="EG40" i="75"/>
  <c r="EG41" i="75"/>
  <c r="EG42" i="75"/>
  <c r="EG43" i="75"/>
  <c r="EG44" i="75"/>
  <c r="EG45" i="75"/>
  <c r="EG46" i="75"/>
  <c r="EG47" i="75"/>
  <c r="EH13" i="75"/>
  <c r="EH14" i="75"/>
  <c r="EH15" i="75"/>
  <c r="EH16" i="75"/>
  <c r="EH20" i="75"/>
  <c r="EH21" i="75"/>
  <c r="EH22" i="75"/>
  <c r="EH23" i="75"/>
  <c r="EH27" i="75"/>
  <c r="EH28" i="75"/>
  <c r="EH29" i="75"/>
  <c r="EH30" i="75"/>
  <c r="EH31" i="75"/>
  <c r="EH32" i="75"/>
  <c r="EH33" i="75"/>
  <c r="EH34" i="75"/>
  <c r="EH35" i="75"/>
  <c r="EH36" i="75"/>
  <c r="EH37" i="75"/>
  <c r="EH38" i="75"/>
  <c r="EH39" i="75"/>
  <c r="EH40" i="75"/>
  <c r="EH41" i="75"/>
  <c r="EH42" i="75"/>
  <c r="EH43" i="75"/>
  <c r="EH44" i="75"/>
  <c r="EH45" i="75"/>
  <c r="EH46" i="75"/>
  <c r="EH47" i="75"/>
  <c r="EM13" i="75"/>
  <c r="EM14" i="75"/>
  <c r="EM15" i="75"/>
  <c r="EM16" i="75"/>
  <c r="EM20" i="75"/>
  <c r="EM21" i="75"/>
  <c r="EM22" i="75"/>
  <c r="EM48" i="75" s="1"/>
  <c r="J79" i="75" s="1"/>
  <c r="EM23" i="75"/>
  <c r="EM27" i="75"/>
  <c r="EM28" i="75"/>
  <c r="EM29" i="75"/>
  <c r="EM30" i="75"/>
  <c r="EM31" i="75"/>
  <c r="EM32" i="75"/>
  <c r="EM33" i="75"/>
  <c r="EM34" i="75"/>
  <c r="EM35" i="75"/>
  <c r="EM36" i="75"/>
  <c r="EM37" i="75"/>
  <c r="EM38" i="75"/>
  <c r="EM39" i="75"/>
  <c r="EM40" i="75"/>
  <c r="EM41" i="75"/>
  <c r="EM42" i="75"/>
  <c r="EM43" i="75"/>
  <c r="EM44" i="75"/>
  <c r="EM45" i="75"/>
  <c r="EM46" i="75"/>
  <c r="EM47" i="75"/>
  <c r="ER13" i="75"/>
  <c r="ER14" i="75"/>
  <c r="ER15" i="75"/>
  <c r="ER16" i="75"/>
  <c r="ER20" i="75"/>
  <c r="ER21" i="75"/>
  <c r="ER22" i="75"/>
  <c r="ER23" i="75"/>
  <c r="ER27" i="75"/>
  <c r="ER28" i="75"/>
  <c r="ER29" i="75"/>
  <c r="ER30" i="75"/>
  <c r="ER31" i="75"/>
  <c r="ER32" i="75"/>
  <c r="ER33" i="75"/>
  <c r="ER34" i="75"/>
  <c r="ER35" i="75"/>
  <c r="ER36" i="75"/>
  <c r="ER37" i="75"/>
  <c r="ER38" i="75"/>
  <c r="ER39" i="75"/>
  <c r="ER40" i="75"/>
  <c r="ER41" i="75"/>
  <c r="ER42" i="75"/>
  <c r="ER43" i="75"/>
  <c r="ER44" i="75"/>
  <c r="ER45" i="75"/>
  <c r="ER46" i="75"/>
  <c r="ER47" i="75"/>
  <c r="EI13" i="75"/>
  <c r="EI14" i="75"/>
  <c r="EI48" i="75" s="1"/>
  <c r="K78" i="75" s="1"/>
  <c r="EI15" i="75"/>
  <c r="EI16" i="75"/>
  <c r="EI20" i="75"/>
  <c r="EI21" i="75"/>
  <c r="EI22" i="75"/>
  <c r="EI23" i="75"/>
  <c r="EI27" i="75"/>
  <c r="EI28" i="75"/>
  <c r="EI29" i="75"/>
  <c r="EI30" i="75"/>
  <c r="EI31" i="75"/>
  <c r="EI32" i="75"/>
  <c r="EI33" i="75"/>
  <c r="EI34" i="75"/>
  <c r="EI35" i="75"/>
  <c r="EI36" i="75"/>
  <c r="EI37" i="75"/>
  <c r="EI38" i="75"/>
  <c r="EI39" i="75"/>
  <c r="EI40" i="75"/>
  <c r="EI41" i="75"/>
  <c r="EI42" i="75"/>
  <c r="EI43" i="75"/>
  <c r="EI44" i="75"/>
  <c r="EI45" i="75"/>
  <c r="EI46" i="75"/>
  <c r="EI47" i="75"/>
  <c r="EN13" i="75"/>
  <c r="EN14" i="75"/>
  <c r="EN15" i="75"/>
  <c r="EN16" i="75"/>
  <c r="EN20" i="75"/>
  <c r="EN21" i="75"/>
  <c r="EN22" i="75"/>
  <c r="EN23" i="75"/>
  <c r="EN27" i="75"/>
  <c r="EN28" i="75"/>
  <c r="EN29" i="75"/>
  <c r="EN30" i="75"/>
  <c r="EN31" i="75"/>
  <c r="EN32" i="75"/>
  <c r="EN33" i="75"/>
  <c r="EN34" i="75"/>
  <c r="EN35" i="75"/>
  <c r="EN36" i="75"/>
  <c r="EN37" i="75"/>
  <c r="EN38" i="75"/>
  <c r="EN39" i="75"/>
  <c r="EN40" i="75"/>
  <c r="EN41" i="75"/>
  <c r="EN42" i="75"/>
  <c r="EN43" i="75"/>
  <c r="EN44" i="75"/>
  <c r="EN45" i="75"/>
  <c r="EN46" i="75"/>
  <c r="EN47" i="75"/>
  <c r="ES13" i="75"/>
  <c r="ES14" i="75"/>
  <c r="ES15" i="75"/>
  <c r="ES16" i="75"/>
  <c r="ES20" i="75"/>
  <c r="ES21" i="75"/>
  <c r="ES22" i="75"/>
  <c r="ES23" i="75"/>
  <c r="ES27" i="75"/>
  <c r="ES28" i="75"/>
  <c r="ES29" i="75"/>
  <c r="ES30" i="75"/>
  <c r="ES31" i="75"/>
  <c r="ES32" i="75"/>
  <c r="ES33" i="75"/>
  <c r="ES34" i="75"/>
  <c r="ES35" i="75"/>
  <c r="ES36" i="75"/>
  <c r="ES37" i="75"/>
  <c r="ES38" i="75"/>
  <c r="ES39" i="75"/>
  <c r="ES40" i="75"/>
  <c r="ES41" i="75"/>
  <c r="ES42" i="75"/>
  <c r="ES43" i="75"/>
  <c r="ES44" i="75"/>
  <c r="ES45" i="75"/>
  <c r="ES46" i="75"/>
  <c r="ES47" i="75"/>
  <c r="EJ13" i="75"/>
  <c r="EJ14" i="75"/>
  <c r="EJ15" i="75"/>
  <c r="EJ16" i="75"/>
  <c r="EJ20" i="75"/>
  <c r="EJ21" i="75"/>
  <c r="EJ22" i="75"/>
  <c r="EJ23" i="75"/>
  <c r="EJ27" i="75"/>
  <c r="EJ28" i="75"/>
  <c r="EJ29" i="75"/>
  <c r="EJ30" i="75"/>
  <c r="EJ31" i="75"/>
  <c r="EJ32" i="75"/>
  <c r="EJ33" i="75"/>
  <c r="EJ34" i="75"/>
  <c r="EJ35" i="75"/>
  <c r="EJ36" i="75"/>
  <c r="EJ37" i="75"/>
  <c r="EJ38" i="75"/>
  <c r="EJ39" i="75"/>
  <c r="EJ40" i="75"/>
  <c r="EJ41" i="75"/>
  <c r="EJ42" i="75"/>
  <c r="EJ43" i="75"/>
  <c r="EJ44" i="75"/>
  <c r="EJ45" i="75"/>
  <c r="EJ46" i="75"/>
  <c r="EJ47" i="75"/>
  <c r="EO13" i="75"/>
  <c r="EO14" i="75"/>
  <c r="EO15" i="75"/>
  <c r="EO16" i="75"/>
  <c r="EO20" i="75"/>
  <c r="EO21" i="75"/>
  <c r="EO22" i="75"/>
  <c r="EO23" i="75"/>
  <c r="EO27" i="75"/>
  <c r="EO28" i="75"/>
  <c r="EO29" i="75"/>
  <c r="EO30" i="75"/>
  <c r="EO31" i="75"/>
  <c r="EO32" i="75"/>
  <c r="EO33" i="75"/>
  <c r="EO34" i="75"/>
  <c r="EO35" i="75"/>
  <c r="EO36" i="75"/>
  <c r="EO37" i="75"/>
  <c r="EO38" i="75"/>
  <c r="EO39" i="75"/>
  <c r="EO40" i="75"/>
  <c r="EO41" i="75"/>
  <c r="EO42" i="75"/>
  <c r="EO43" i="75"/>
  <c r="EO44" i="75"/>
  <c r="EO45" i="75"/>
  <c r="EO46" i="75"/>
  <c r="EO47" i="75"/>
  <c r="ET13" i="75"/>
  <c r="ET48" i="75" s="1"/>
  <c r="ET14" i="75"/>
  <c r="ET15" i="75"/>
  <c r="ET16" i="75"/>
  <c r="ET20" i="75"/>
  <c r="ET21" i="75"/>
  <c r="ET22" i="75"/>
  <c r="ET23" i="75"/>
  <c r="ET27" i="75"/>
  <c r="ET28" i="75"/>
  <c r="ET29" i="75"/>
  <c r="ET30" i="75"/>
  <c r="ET31" i="75"/>
  <c r="ET32" i="75"/>
  <c r="ET33" i="75"/>
  <c r="ET34" i="75"/>
  <c r="ET35" i="75"/>
  <c r="ET36" i="75"/>
  <c r="ET37" i="75"/>
  <c r="ET38" i="75"/>
  <c r="ET39" i="75"/>
  <c r="ET40" i="75"/>
  <c r="ET41" i="75"/>
  <c r="ET42" i="75"/>
  <c r="ET43" i="75"/>
  <c r="ET44" i="75"/>
  <c r="ET45" i="75"/>
  <c r="ET46" i="75"/>
  <c r="ET47" i="75"/>
  <c r="EK13" i="75"/>
  <c r="EK14" i="75"/>
  <c r="EK15" i="75"/>
  <c r="EK16" i="75"/>
  <c r="EK20" i="75"/>
  <c r="EK21" i="75"/>
  <c r="EK22" i="75"/>
  <c r="EK48" i="75" s="1"/>
  <c r="M78" i="75" s="1"/>
  <c r="EK23" i="75"/>
  <c r="EK27" i="75"/>
  <c r="EK28" i="75"/>
  <c r="EK29" i="75"/>
  <c r="EK30" i="75"/>
  <c r="EK31" i="75"/>
  <c r="EK32" i="75"/>
  <c r="EK33" i="75"/>
  <c r="EK34" i="75"/>
  <c r="EK35" i="75"/>
  <c r="EK36" i="75"/>
  <c r="EK37" i="75"/>
  <c r="EK38" i="75"/>
  <c r="EK39" i="75"/>
  <c r="EK40" i="75"/>
  <c r="EK41" i="75"/>
  <c r="EK42" i="75"/>
  <c r="EK43" i="75"/>
  <c r="EK44" i="75"/>
  <c r="EK45" i="75"/>
  <c r="EK46" i="75"/>
  <c r="EK47" i="75"/>
  <c r="EP13" i="75"/>
  <c r="EP14" i="75"/>
  <c r="EP15" i="75"/>
  <c r="EP16" i="75"/>
  <c r="EP20" i="75"/>
  <c r="EP21" i="75"/>
  <c r="EP22" i="75"/>
  <c r="EP23" i="75"/>
  <c r="EP27" i="75"/>
  <c r="EP28" i="75"/>
  <c r="EP29" i="75"/>
  <c r="EP30" i="75"/>
  <c r="EP31" i="75"/>
  <c r="EP32" i="75"/>
  <c r="EP33" i="75"/>
  <c r="EP34" i="75"/>
  <c r="EP35" i="75"/>
  <c r="EP36" i="75"/>
  <c r="EP37" i="75"/>
  <c r="EP38" i="75"/>
  <c r="EP39" i="75"/>
  <c r="EP40" i="75"/>
  <c r="EP41" i="75"/>
  <c r="EP42" i="75"/>
  <c r="EP43" i="75"/>
  <c r="EP44" i="75"/>
  <c r="EP45" i="75"/>
  <c r="EP46" i="75"/>
  <c r="EP47" i="75"/>
  <c r="EU13" i="75"/>
  <c r="EU14" i="75"/>
  <c r="EU48" i="75" s="1"/>
  <c r="EU15" i="75"/>
  <c r="EU16" i="75"/>
  <c r="EU20" i="75"/>
  <c r="EU21" i="75"/>
  <c r="EU22" i="75"/>
  <c r="EU23" i="75"/>
  <c r="EU27" i="75"/>
  <c r="EU28" i="75"/>
  <c r="EU29" i="75"/>
  <c r="EU30" i="75"/>
  <c r="EU31" i="75"/>
  <c r="EU32" i="75"/>
  <c r="EU33" i="75"/>
  <c r="EU34" i="75"/>
  <c r="EU35" i="75"/>
  <c r="EU36" i="75"/>
  <c r="EU37" i="75"/>
  <c r="EU38" i="75"/>
  <c r="EU39" i="75"/>
  <c r="EU40" i="75"/>
  <c r="EU41" i="75"/>
  <c r="EU42" i="75"/>
  <c r="EU43" i="75"/>
  <c r="EU44" i="75"/>
  <c r="EU45" i="75"/>
  <c r="EU46" i="75"/>
  <c r="EU47" i="75"/>
  <c r="EL13" i="75"/>
  <c r="EL14" i="75"/>
  <c r="EL15" i="75"/>
  <c r="EL16" i="75"/>
  <c r="EL20" i="75"/>
  <c r="EL21" i="75"/>
  <c r="EL22" i="75"/>
  <c r="EL23" i="75"/>
  <c r="EL27" i="75"/>
  <c r="EL28" i="75"/>
  <c r="EL29" i="75"/>
  <c r="EL30" i="75"/>
  <c r="EL31" i="75"/>
  <c r="EL32" i="75"/>
  <c r="EL33" i="75"/>
  <c r="EL34" i="75"/>
  <c r="EL35" i="75"/>
  <c r="EL36" i="75"/>
  <c r="EL37" i="75"/>
  <c r="EL38" i="75"/>
  <c r="EL39" i="75"/>
  <c r="EL40" i="75"/>
  <c r="EL41" i="75"/>
  <c r="EL42" i="75"/>
  <c r="EL43" i="75"/>
  <c r="EL44" i="75"/>
  <c r="EL45" i="75"/>
  <c r="EL46" i="75"/>
  <c r="EL47" i="75"/>
  <c r="EQ13" i="75"/>
  <c r="EQ14" i="75"/>
  <c r="EQ15" i="75"/>
  <c r="EQ48" i="75" s="1"/>
  <c r="N79" i="75" s="1"/>
  <c r="EQ16" i="75"/>
  <c r="EQ20" i="75"/>
  <c r="EQ21" i="75"/>
  <c r="EQ22" i="75"/>
  <c r="EQ23" i="75"/>
  <c r="EQ27" i="75"/>
  <c r="EQ28" i="75"/>
  <c r="EQ29" i="75"/>
  <c r="EQ30" i="75"/>
  <c r="EQ31" i="75"/>
  <c r="EQ32" i="75"/>
  <c r="EQ33" i="75"/>
  <c r="EQ34" i="75"/>
  <c r="EQ35" i="75"/>
  <c r="EQ36" i="75"/>
  <c r="EQ37" i="75"/>
  <c r="EQ38" i="75"/>
  <c r="EQ39" i="75"/>
  <c r="EQ40" i="75"/>
  <c r="EQ41" i="75"/>
  <c r="EQ42" i="75"/>
  <c r="EQ43" i="75"/>
  <c r="EQ44" i="75"/>
  <c r="EQ45" i="75"/>
  <c r="EQ46" i="75"/>
  <c r="EQ47" i="75"/>
  <c r="EV13" i="75"/>
  <c r="EV14" i="75"/>
  <c r="EV15" i="75"/>
  <c r="EV16" i="75"/>
  <c r="EV20" i="75"/>
  <c r="EV21" i="75"/>
  <c r="EV22" i="75"/>
  <c r="EV23" i="75"/>
  <c r="EV27" i="75"/>
  <c r="EV28" i="75"/>
  <c r="EV29" i="75"/>
  <c r="EV30" i="75"/>
  <c r="EV31" i="75"/>
  <c r="EV32" i="75"/>
  <c r="EV33" i="75"/>
  <c r="EV34" i="75"/>
  <c r="EV35" i="75"/>
  <c r="EV36" i="75"/>
  <c r="EV37" i="75"/>
  <c r="EV38" i="75"/>
  <c r="EV39" i="75"/>
  <c r="EV40" i="75"/>
  <c r="EV41" i="75"/>
  <c r="EV42" i="75"/>
  <c r="EV43" i="75"/>
  <c r="EV44" i="75"/>
  <c r="EV45" i="75"/>
  <c r="EV46" i="75"/>
  <c r="EV47" i="75"/>
  <c r="P66" i="93"/>
  <c r="O81" i="75"/>
  <c r="N66" i="93"/>
  <c r="DD13" i="75"/>
  <c r="DD14" i="75"/>
  <c r="DD15" i="75"/>
  <c r="DD16" i="75"/>
  <c r="DD20" i="75"/>
  <c r="DD21" i="75"/>
  <c r="DD22" i="75"/>
  <c r="DD23" i="75"/>
  <c r="DD27" i="75"/>
  <c r="DD28" i="75"/>
  <c r="DD29" i="75"/>
  <c r="DD30" i="75"/>
  <c r="DD31" i="75"/>
  <c r="DD32" i="75"/>
  <c r="DD33" i="75"/>
  <c r="DD34" i="75"/>
  <c r="DD35" i="75"/>
  <c r="DD36" i="75"/>
  <c r="DD37" i="75"/>
  <c r="DD38" i="75"/>
  <c r="DD39" i="75"/>
  <c r="DD40" i="75"/>
  <c r="DD41" i="75"/>
  <c r="DD42" i="75"/>
  <c r="DD43" i="75"/>
  <c r="DD44" i="75"/>
  <c r="DD45" i="75"/>
  <c r="DD46" i="75"/>
  <c r="DD47" i="75"/>
  <c r="DI13" i="75"/>
  <c r="DI14" i="75"/>
  <c r="DI15" i="75"/>
  <c r="DI16" i="75"/>
  <c r="DI20" i="75"/>
  <c r="DI21" i="75"/>
  <c r="DI22" i="75"/>
  <c r="DI23" i="75"/>
  <c r="DI27" i="75"/>
  <c r="DI28" i="75"/>
  <c r="DI29" i="75"/>
  <c r="DI30" i="75"/>
  <c r="DI31" i="75"/>
  <c r="DI32" i="75"/>
  <c r="DI33" i="75"/>
  <c r="DI34" i="75"/>
  <c r="DI35" i="75"/>
  <c r="DI36" i="75"/>
  <c r="DI37" i="75"/>
  <c r="DI38" i="75"/>
  <c r="DI39" i="75"/>
  <c r="DI40" i="75"/>
  <c r="DI41" i="75"/>
  <c r="DI42" i="75"/>
  <c r="DI43" i="75"/>
  <c r="DI44" i="75"/>
  <c r="DI45" i="75"/>
  <c r="DI46" i="75"/>
  <c r="DI47" i="75"/>
  <c r="DN13" i="75"/>
  <c r="DN14" i="75"/>
  <c r="DN15" i="75"/>
  <c r="DN16" i="75"/>
  <c r="DN20" i="75"/>
  <c r="DN21" i="75"/>
  <c r="DN22" i="75"/>
  <c r="DN23" i="75"/>
  <c r="DN27" i="75"/>
  <c r="DN28" i="75"/>
  <c r="DN29" i="75"/>
  <c r="DN30" i="75"/>
  <c r="DN31" i="75"/>
  <c r="DN32" i="75"/>
  <c r="DN33" i="75"/>
  <c r="DN34" i="75"/>
  <c r="DN35" i="75"/>
  <c r="DN36" i="75"/>
  <c r="DN37" i="75"/>
  <c r="DN38" i="75"/>
  <c r="DN39" i="75"/>
  <c r="DN40" i="75"/>
  <c r="DN41" i="75"/>
  <c r="DN42" i="75"/>
  <c r="DN43" i="75"/>
  <c r="DN44" i="75"/>
  <c r="DN45" i="75"/>
  <c r="DN46" i="75"/>
  <c r="DN47" i="75"/>
  <c r="DE13" i="75"/>
  <c r="DE14" i="75"/>
  <c r="DE15" i="75"/>
  <c r="DE16" i="75"/>
  <c r="DE20" i="75"/>
  <c r="DE21" i="75"/>
  <c r="DE22" i="75"/>
  <c r="DE23" i="75"/>
  <c r="DE27" i="75"/>
  <c r="DE28" i="75"/>
  <c r="DE29" i="75"/>
  <c r="DE30" i="75"/>
  <c r="DE31" i="75"/>
  <c r="DE32" i="75"/>
  <c r="DE33" i="75"/>
  <c r="DE34" i="75"/>
  <c r="DE35" i="75"/>
  <c r="DE36" i="75"/>
  <c r="DE37" i="75"/>
  <c r="DE38" i="75"/>
  <c r="DE39" i="75"/>
  <c r="DE40" i="75"/>
  <c r="DE41" i="75"/>
  <c r="DE42" i="75"/>
  <c r="DE43" i="75"/>
  <c r="DE44" i="75"/>
  <c r="DE45" i="75"/>
  <c r="DE46" i="75"/>
  <c r="DE47" i="75"/>
  <c r="DJ13" i="75"/>
  <c r="DJ14" i="75"/>
  <c r="DJ15" i="75"/>
  <c r="DJ16" i="75"/>
  <c r="DJ20" i="75"/>
  <c r="DJ21" i="75"/>
  <c r="DJ22" i="75"/>
  <c r="DJ23" i="75"/>
  <c r="DJ27" i="75"/>
  <c r="DJ28" i="75"/>
  <c r="DJ29" i="75"/>
  <c r="DJ30" i="75"/>
  <c r="DJ31" i="75"/>
  <c r="DJ32" i="75"/>
  <c r="DJ33" i="75"/>
  <c r="DJ34" i="75"/>
  <c r="DJ35" i="75"/>
  <c r="DJ36" i="75"/>
  <c r="DJ37" i="75"/>
  <c r="DJ38" i="75"/>
  <c r="DJ39" i="75"/>
  <c r="DJ40" i="75"/>
  <c r="DJ41" i="75"/>
  <c r="DJ42" i="75"/>
  <c r="DJ43" i="75"/>
  <c r="DJ44" i="75"/>
  <c r="DJ45" i="75"/>
  <c r="DJ46" i="75"/>
  <c r="DJ47" i="75"/>
  <c r="DO13" i="75"/>
  <c r="DO14" i="75"/>
  <c r="DO15" i="75"/>
  <c r="DO16" i="75"/>
  <c r="DO20" i="75"/>
  <c r="DO21" i="75"/>
  <c r="DO22" i="75"/>
  <c r="DO23" i="75"/>
  <c r="DO27" i="75"/>
  <c r="DO28" i="75"/>
  <c r="DO29" i="75"/>
  <c r="DO30" i="75"/>
  <c r="DO31" i="75"/>
  <c r="DO32" i="75"/>
  <c r="DO33" i="75"/>
  <c r="DO34" i="75"/>
  <c r="DO35" i="75"/>
  <c r="DO36" i="75"/>
  <c r="DO37" i="75"/>
  <c r="DO38" i="75"/>
  <c r="DO39" i="75"/>
  <c r="DO40" i="75"/>
  <c r="DO41" i="75"/>
  <c r="DO42" i="75"/>
  <c r="DO43" i="75"/>
  <c r="DO44" i="75"/>
  <c r="DO45" i="75"/>
  <c r="DO46" i="75"/>
  <c r="DO47" i="75"/>
  <c r="DF13" i="75"/>
  <c r="DF14" i="75"/>
  <c r="DF15" i="75"/>
  <c r="DF16" i="75"/>
  <c r="DF20" i="75"/>
  <c r="DF21" i="75"/>
  <c r="DF22" i="75"/>
  <c r="DF23" i="75"/>
  <c r="DF27" i="75"/>
  <c r="DF28" i="75"/>
  <c r="DF29" i="75"/>
  <c r="DF30" i="75"/>
  <c r="DF31" i="75"/>
  <c r="DF32" i="75"/>
  <c r="DF33" i="75"/>
  <c r="DF34" i="75"/>
  <c r="DF35" i="75"/>
  <c r="DF36" i="75"/>
  <c r="DF37" i="75"/>
  <c r="DF38" i="75"/>
  <c r="DF39" i="75"/>
  <c r="DF40" i="75"/>
  <c r="DF41" i="75"/>
  <c r="DF42" i="75"/>
  <c r="DF43" i="75"/>
  <c r="DF44" i="75"/>
  <c r="DF45" i="75"/>
  <c r="DF46" i="75"/>
  <c r="DF47" i="75"/>
  <c r="DK13" i="75"/>
  <c r="DK14" i="75"/>
  <c r="DK15" i="75"/>
  <c r="DK16" i="75"/>
  <c r="DK20" i="75"/>
  <c r="DK21" i="75"/>
  <c r="DK22" i="75"/>
  <c r="DK23" i="75"/>
  <c r="DK27" i="75"/>
  <c r="DK28" i="75"/>
  <c r="DK29" i="75"/>
  <c r="DK30" i="75"/>
  <c r="DK31" i="75"/>
  <c r="DK32" i="75"/>
  <c r="DK33" i="75"/>
  <c r="DK34" i="75"/>
  <c r="DK35" i="75"/>
  <c r="DK36" i="75"/>
  <c r="DK37" i="75"/>
  <c r="DK38" i="75"/>
  <c r="DK39" i="75"/>
  <c r="DK40" i="75"/>
  <c r="DK41" i="75"/>
  <c r="DK42" i="75"/>
  <c r="DK43" i="75"/>
  <c r="DK44" i="75"/>
  <c r="DK45" i="75"/>
  <c r="DK46" i="75"/>
  <c r="DK47" i="75"/>
  <c r="DP13" i="75"/>
  <c r="DP14" i="75"/>
  <c r="DP15" i="75"/>
  <c r="DP16" i="75"/>
  <c r="DP20" i="75"/>
  <c r="DP21" i="75"/>
  <c r="DP22" i="75"/>
  <c r="DP23" i="75"/>
  <c r="DP27" i="75"/>
  <c r="DP28" i="75"/>
  <c r="DP29" i="75"/>
  <c r="DP30" i="75"/>
  <c r="DP31" i="75"/>
  <c r="DP32" i="75"/>
  <c r="DP33" i="75"/>
  <c r="DP34" i="75"/>
  <c r="DP35" i="75"/>
  <c r="DP36" i="75"/>
  <c r="DP37" i="75"/>
  <c r="DP38" i="75"/>
  <c r="DP39" i="75"/>
  <c r="DP40" i="75"/>
  <c r="DP41" i="75"/>
  <c r="DP42" i="75"/>
  <c r="DP43" i="75"/>
  <c r="DP44" i="75"/>
  <c r="DP45" i="75"/>
  <c r="DP46" i="75"/>
  <c r="DP47" i="75"/>
  <c r="DG13" i="75"/>
  <c r="DG14" i="75"/>
  <c r="DG15" i="75"/>
  <c r="DG16" i="75"/>
  <c r="DG20" i="75"/>
  <c r="DG21" i="75"/>
  <c r="DG22" i="75"/>
  <c r="DG23" i="75"/>
  <c r="DG27" i="75"/>
  <c r="DG28" i="75"/>
  <c r="DG29" i="75"/>
  <c r="DG30" i="75"/>
  <c r="DG31" i="75"/>
  <c r="DG32" i="75"/>
  <c r="DG33" i="75"/>
  <c r="DG34" i="75"/>
  <c r="DG35" i="75"/>
  <c r="DG36" i="75"/>
  <c r="DG37" i="75"/>
  <c r="DG38" i="75"/>
  <c r="DG39" i="75"/>
  <c r="DG40" i="75"/>
  <c r="DG41" i="75"/>
  <c r="DG42" i="75"/>
  <c r="DG43" i="75"/>
  <c r="DG44" i="75"/>
  <c r="DG45" i="75"/>
  <c r="DG46" i="75"/>
  <c r="DG47" i="75"/>
  <c r="DL13" i="75"/>
  <c r="DL14" i="75"/>
  <c r="DL15" i="75"/>
  <c r="DL16" i="75"/>
  <c r="DL20" i="75"/>
  <c r="DL21" i="75"/>
  <c r="DL22" i="75"/>
  <c r="DL23" i="75"/>
  <c r="DL27" i="75"/>
  <c r="DL28" i="75"/>
  <c r="DL29" i="75"/>
  <c r="DL30" i="75"/>
  <c r="DL31" i="75"/>
  <c r="DL32" i="75"/>
  <c r="DL33" i="75"/>
  <c r="DL34" i="75"/>
  <c r="DL35" i="75"/>
  <c r="DL36" i="75"/>
  <c r="DL37" i="75"/>
  <c r="DL38" i="75"/>
  <c r="DL39" i="75"/>
  <c r="DL40" i="75"/>
  <c r="DL41" i="75"/>
  <c r="DL42" i="75"/>
  <c r="DL43" i="75"/>
  <c r="DL44" i="75"/>
  <c r="DL45" i="75"/>
  <c r="DL46" i="75"/>
  <c r="DL47" i="75"/>
  <c r="DQ13" i="75"/>
  <c r="DQ14" i="75"/>
  <c r="DQ15" i="75"/>
  <c r="DQ16" i="75"/>
  <c r="DQ20" i="75"/>
  <c r="DQ21" i="75"/>
  <c r="DQ22" i="75"/>
  <c r="DQ23" i="75"/>
  <c r="DQ27" i="75"/>
  <c r="DQ28" i="75"/>
  <c r="DQ29" i="75"/>
  <c r="DQ30" i="75"/>
  <c r="DQ31" i="75"/>
  <c r="DQ32" i="75"/>
  <c r="DQ33" i="75"/>
  <c r="DQ34" i="75"/>
  <c r="DQ35" i="75"/>
  <c r="DQ36" i="75"/>
  <c r="DQ37" i="75"/>
  <c r="DQ38" i="75"/>
  <c r="DQ39" i="75"/>
  <c r="DQ40" i="75"/>
  <c r="DQ41" i="75"/>
  <c r="DQ42" i="75"/>
  <c r="DQ43" i="75"/>
  <c r="DQ44" i="75"/>
  <c r="DQ45" i="75"/>
  <c r="DQ46" i="75"/>
  <c r="DQ47" i="75"/>
  <c r="DH13" i="75"/>
  <c r="DH14" i="75"/>
  <c r="DH15" i="75"/>
  <c r="DH16" i="75"/>
  <c r="DH20" i="75"/>
  <c r="DH21" i="75"/>
  <c r="DH22" i="75"/>
  <c r="DH23" i="75"/>
  <c r="DH27" i="75"/>
  <c r="DH28" i="75"/>
  <c r="DH29" i="75"/>
  <c r="DH30" i="75"/>
  <c r="DH31" i="75"/>
  <c r="DH32" i="75"/>
  <c r="DH33" i="75"/>
  <c r="DH34" i="75"/>
  <c r="DH35" i="75"/>
  <c r="DH36" i="75"/>
  <c r="DH37" i="75"/>
  <c r="DH38" i="75"/>
  <c r="DH39" i="75"/>
  <c r="DH40" i="75"/>
  <c r="DH41" i="75"/>
  <c r="DH42" i="75"/>
  <c r="DH43" i="75"/>
  <c r="DH44" i="75"/>
  <c r="DH45" i="75"/>
  <c r="DH46" i="75"/>
  <c r="DH47" i="75"/>
  <c r="DM13" i="75"/>
  <c r="DM14" i="75"/>
  <c r="DM15" i="75"/>
  <c r="DM16" i="75"/>
  <c r="DM20" i="75"/>
  <c r="DM21" i="75"/>
  <c r="DM22" i="75"/>
  <c r="DM23" i="75"/>
  <c r="DM27" i="75"/>
  <c r="DM28" i="75"/>
  <c r="DM29" i="75"/>
  <c r="DM30" i="75"/>
  <c r="DM31" i="75"/>
  <c r="DM32" i="75"/>
  <c r="DM33" i="75"/>
  <c r="DM34" i="75"/>
  <c r="DM35" i="75"/>
  <c r="DM36" i="75"/>
  <c r="DM37" i="75"/>
  <c r="DM38" i="75"/>
  <c r="DM39" i="75"/>
  <c r="DM40" i="75"/>
  <c r="DM41" i="75"/>
  <c r="DM42" i="75"/>
  <c r="DM43" i="75"/>
  <c r="DM44" i="75"/>
  <c r="DM45" i="75"/>
  <c r="DM46" i="75"/>
  <c r="DM47" i="75"/>
  <c r="DR13" i="75"/>
  <c r="DR14" i="75"/>
  <c r="DR15" i="75"/>
  <c r="DR16" i="75"/>
  <c r="DR20" i="75"/>
  <c r="DR21" i="75"/>
  <c r="DR22" i="75"/>
  <c r="DR23" i="75"/>
  <c r="DR27" i="75"/>
  <c r="DR28" i="75"/>
  <c r="DR29" i="75"/>
  <c r="DR30" i="75"/>
  <c r="DR31" i="75"/>
  <c r="DR32" i="75"/>
  <c r="DR33" i="75"/>
  <c r="DR34" i="75"/>
  <c r="DR35" i="75"/>
  <c r="DR36" i="75"/>
  <c r="DR37" i="75"/>
  <c r="DR38" i="75"/>
  <c r="DR39" i="75"/>
  <c r="DR40" i="75"/>
  <c r="DR41" i="75"/>
  <c r="DR42" i="75"/>
  <c r="DR43" i="75"/>
  <c r="DR44" i="75"/>
  <c r="DR45" i="75"/>
  <c r="DR46" i="75"/>
  <c r="DR47" i="75"/>
  <c r="O20" i="93"/>
  <c r="A5" i="93"/>
  <c r="A2" i="93"/>
  <c r="D53" i="92"/>
  <c r="H52" i="92"/>
  <c r="C52" i="92"/>
  <c r="F37" i="72"/>
  <c r="F1591" i="93" s="1"/>
  <c r="P182" i="93"/>
  <c r="A206" i="85"/>
  <c r="A10" i="83"/>
  <c r="I9" i="92"/>
  <c r="G11" i="91"/>
  <c r="F197" i="90"/>
  <c r="F73" i="89"/>
  <c r="D101" i="90"/>
  <c r="E163" i="90"/>
  <c r="F39" i="89"/>
  <c r="D79" i="90"/>
  <c r="F30" i="89"/>
  <c r="D62" i="90"/>
  <c r="D56" i="92" s="1"/>
  <c r="C16" i="90"/>
  <c r="A206" i="90"/>
  <c r="A200" i="90"/>
  <c r="C5" i="90"/>
  <c r="C8" i="84"/>
  <c r="E8" i="84"/>
  <c r="F13" i="85" s="1"/>
  <c r="E9" i="89"/>
  <c r="H7" i="92"/>
  <c r="E50" i="89"/>
  <c r="E24" i="89"/>
  <c r="E23" i="89"/>
  <c r="E21" i="89"/>
  <c r="E17" i="89"/>
  <c r="C31" i="90"/>
  <c r="E16" i="89"/>
  <c r="C30" i="90"/>
  <c r="F48" i="92" s="1"/>
  <c r="E13" i="89"/>
  <c r="E11" i="89"/>
  <c r="C25" i="90"/>
  <c r="E47" i="89"/>
  <c r="E22" i="89"/>
  <c r="E20" i="89"/>
  <c r="E19" i="89"/>
  <c r="C137" i="90" s="1"/>
  <c r="E12" i="89"/>
  <c r="C23" i="90" s="1"/>
  <c r="E10" i="89"/>
  <c r="C15" i="90" s="1"/>
  <c r="E8" i="89"/>
  <c r="C19" i="90" s="1"/>
  <c r="C142" i="90" s="1"/>
  <c r="E7" i="89"/>
  <c r="C18" i="90" s="1"/>
  <c r="C141" i="90" s="1"/>
  <c r="K7" i="88"/>
  <c r="D54" i="86"/>
  <c r="E54" i="86"/>
  <c r="F54" i="86"/>
  <c r="G54" i="86"/>
  <c r="H54" i="86"/>
  <c r="C54" i="86"/>
  <c r="G34" i="86"/>
  <c r="H34" i="86"/>
  <c r="I34" i="86"/>
  <c r="F34" i="86"/>
  <c r="D34" i="86"/>
  <c r="E34" i="86"/>
  <c r="C34" i="86"/>
  <c r="D14" i="86"/>
  <c r="E14" i="86"/>
  <c r="F14" i="86"/>
  <c r="G14" i="86"/>
  <c r="H14" i="86"/>
  <c r="I14" i="86"/>
  <c r="C14" i="86"/>
  <c r="H52" i="86"/>
  <c r="G52" i="86"/>
  <c r="F52" i="86"/>
  <c r="E52" i="86"/>
  <c r="D52" i="86"/>
  <c r="C52" i="86"/>
  <c r="H32" i="86"/>
  <c r="I32" i="86"/>
  <c r="G32" i="86"/>
  <c r="F32" i="86"/>
  <c r="D32" i="86"/>
  <c r="E32" i="86"/>
  <c r="C32" i="86"/>
  <c r="E12" i="86"/>
  <c r="F12" i="86"/>
  <c r="G12" i="86"/>
  <c r="H12" i="86"/>
  <c r="I12" i="86"/>
  <c r="D12" i="86"/>
  <c r="C12" i="86"/>
  <c r="H49" i="86"/>
  <c r="E6" i="86"/>
  <c r="K5" i="86" s="1"/>
  <c r="E4" i="86"/>
  <c r="G49" i="86"/>
  <c r="F49" i="86"/>
  <c r="E49" i="86"/>
  <c r="D49" i="86"/>
  <c r="O61" i="85"/>
  <c r="M17" i="78"/>
  <c r="M23" i="78"/>
  <c r="M27" i="78"/>
  <c r="M132" i="78" s="1"/>
  <c r="M149" i="78" s="1"/>
  <c r="M151" i="78" s="1"/>
  <c r="M153" i="78" s="1"/>
  <c r="M33" i="78"/>
  <c r="M38" i="78"/>
  <c r="M64" i="78"/>
  <c r="M77" i="78"/>
  <c r="M83" i="78"/>
  <c r="M118" i="78"/>
  <c r="M126" i="78"/>
  <c r="M130" i="78"/>
  <c r="P17" i="78"/>
  <c r="P27" i="78"/>
  <c r="P33" i="78"/>
  <c r="P38" i="78"/>
  <c r="P64" i="78"/>
  <c r="P77" i="78"/>
  <c r="P83" i="78"/>
  <c r="P118" i="78"/>
  <c r="P126" i="78"/>
  <c r="P130" i="78"/>
  <c r="Q61" i="85"/>
  <c r="N61" i="85"/>
  <c r="L61" i="85"/>
  <c r="F103" i="92"/>
  <c r="E96" i="90"/>
  <c r="E92" i="90"/>
  <c r="H4" i="86"/>
  <c r="C58" i="84"/>
  <c r="E58" i="84" s="1"/>
  <c r="C59" i="84"/>
  <c r="E59" i="84" s="1"/>
  <c r="C61" i="84"/>
  <c r="C60" i="84"/>
  <c r="K60" i="84" s="1"/>
  <c r="C25" i="84"/>
  <c r="K36" i="88" s="1"/>
  <c r="D39" i="88" s="1"/>
  <c r="C31" i="84"/>
  <c r="C34" i="84" s="1"/>
  <c r="C32" i="84"/>
  <c r="C55" i="84"/>
  <c r="E28" i="89"/>
  <c r="O6" i="86"/>
  <c r="P1840" i="93"/>
  <c r="O1840" i="93"/>
  <c r="C30" i="84"/>
  <c r="B32" i="84"/>
  <c r="B31" i="84"/>
  <c r="B25" i="84"/>
  <c r="M11" i="84"/>
  <c r="G130" i="90" s="1"/>
  <c r="E16" i="84"/>
  <c r="F19" i="85" s="1"/>
  <c r="C16" i="84"/>
  <c r="C14" i="84"/>
  <c r="F17" i="85" s="1"/>
  <c r="E11" i="84"/>
  <c r="E57" i="90"/>
  <c r="C11" i="84"/>
  <c r="C57" i="90"/>
  <c r="H12" i="84"/>
  <c r="C12" i="84"/>
  <c r="K11" i="84"/>
  <c r="D130" i="90" s="1"/>
  <c r="H11" i="84"/>
  <c r="C130" i="90"/>
  <c r="K10" i="84"/>
  <c r="C146" i="90"/>
  <c r="H10" i="84"/>
  <c r="C144" i="90" s="1"/>
  <c r="C10" i="84"/>
  <c r="C55" i="90" s="1"/>
  <c r="H9" i="84"/>
  <c r="E65" i="89" s="1"/>
  <c r="E5" i="89"/>
  <c r="D14" i="84"/>
  <c r="F102" i="78"/>
  <c r="F101" i="78"/>
  <c r="G537" i="93"/>
  <c r="P146" i="78"/>
  <c r="P150" i="78" s="1"/>
  <c r="J168" i="78"/>
  <c r="G6" i="74"/>
  <c r="F101" i="92"/>
  <c r="F95" i="92"/>
  <c r="I65" i="92"/>
  <c r="E184" i="90"/>
  <c r="E81" i="90"/>
  <c r="K61"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E36" i="72"/>
  <c r="E1590" i="93"/>
  <c r="F38" i="72"/>
  <c r="F1592" i="93"/>
  <c r="F36" i="72"/>
  <c r="F1590" i="93" s="1"/>
  <c r="F30" i="72"/>
  <c r="F1584" i="93" s="1"/>
  <c r="F31" i="72"/>
  <c r="F1585" i="93"/>
  <c r="F32" i="72"/>
  <c r="F1586" i="93"/>
  <c r="F33" i="72"/>
  <c r="F1587" i="93" s="1"/>
  <c r="F34" i="72"/>
  <c r="F1588" i="93" s="1"/>
  <c r="F35" i="72"/>
  <c r="F1589" i="93"/>
  <c r="F39" i="72"/>
  <c r="F1593" i="93"/>
  <c r="F40" i="72"/>
  <c r="F1594" i="93" s="1"/>
  <c r="F41" i="72"/>
  <c r="F1595" i="93" s="1"/>
  <c r="O8" i="72"/>
  <c r="O1562" i="93"/>
  <c r="O29" i="72"/>
  <c r="P13" i="72"/>
  <c r="L137" i="72"/>
  <c r="L119" i="72"/>
  <c r="Q137" i="72"/>
  <c r="Q119" i="72"/>
  <c r="Q126" i="72"/>
  <c r="Q127" i="72"/>
  <c r="Q128" i="72"/>
  <c r="Q125" i="72"/>
  <c r="J113" i="72"/>
  <c r="H83" i="72"/>
  <c r="M441" i="72"/>
  <c r="M6" i="72" s="1"/>
  <c r="P362" i="72"/>
  <c r="P1916" i="93"/>
  <c r="O362" i="72"/>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O346" i="72"/>
  <c r="E38" i="72" s="1"/>
  <c r="E1592" i="93" s="1"/>
  <c r="P324" i="72"/>
  <c r="P1878" i="93" s="1"/>
  <c r="P1997" i="93" s="1"/>
  <c r="G330" i="72"/>
  <c r="G1884" i="93" s="1"/>
  <c r="O325" i="72"/>
  <c r="K308" i="72"/>
  <c r="E35" i="72"/>
  <c r="E1589" i="93" s="1"/>
  <c r="O1761" i="93"/>
  <c r="J180" i="72"/>
  <c r="P171" i="72" s="1"/>
  <c r="P1725" i="93" s="1"/>
  <c r="J181" i="72"/>
  <c r="J1735" i="93" s="1"/>
  <c r="I181" i="72"/>
  <c r="I1735" i="93" s="1"/>
  <c r="I180" i="72"/>
  <c r="O1743" i="93"/>
  <c r="E33" i="72"/>
  <c r="E1587" i="93" s="1"/>
  <c r="O95" i="72"/>
  <c r="K102" i="72"/>
  <c r="P94" i="72"/>
  <c r="P1648" i="93" s="1"/>
  <c r="O94" i="72"/>
  <c r="P57" i="72"/>
  <c r="O57" i="72"/>
  <c r="O272" i="72" s="1"/>
  <c r="O1826" i="93" s="1"/>
  <c r="B96" i="78"/>
  <c r="O383" i="73"/>
  <c r="N383" i="73"/>
  <c r="J378" i="73"/>
  <c r="J182" i="72"/>
  <c r="J1736" i="93" s="1"/>
  <c r="I182" i="72"/>
  <c r="I1736" i="93"/>
  <c r="Q93" i="81"/>
  <c r="R35" i="81"/>
  <c r="Q35" i="81"/>
  <c r="P35" i="81"/>
  <c r="O35" i="81"/>
  <c r="N35" i="81"/>
  <c r="R34" i="81"/>
  <c r="Q34" i="81"/>
  <c r="P34" i="81"/>
  <c r="O34" i="81"/>
  <c r="N34" i="81"/>
  <c r="R33" i="81"/>
  <c r="Q33" i="81"/>
  <c r="P33" i="81"/>
  <c r="O33" i="81"/>
  <c r="N33" i="81"/>
  <c r="R32" i="81"/>
  <c r="Q32" i="81"/>
  <c r="P32" i="81"/>
  <c r="O32" i="81"/>
  <c r="N32" i="81"/>
  <c r="M169" i="72"/>
  <c r="P169" i="72" s="1"/>
  <c r="M168" i="72"/>
  <c r="P168" i="72" s="1"/>
  <c r="M167" i="72"/>
  <c r="P167" i="72" s="1"/>
  <c r="M165" i="72"/>
  <c r="O165" i="72" s="1"/>
  <c r="M164" i="72"/>
  <c r="O164" i="72" s="1"/>
  <c r="M163" i="72"/>
  <c r="O163" i="72" s="1"/>
  <c r="V17" i="78"/>
  <c r="I215" i="72"/>
  <c r="E68" i="78"/>
  <c r="F68" i="78" s="1"/>
  <c r="U3" i="75"/>
  <c r="G325" i="72"/>
  <c r="G1879" i="93" s="1"/>
  <c r="P1669" i="93"/>
  <c r="L115" i="72"/>
  <c r="O1669" i="93"/>
  <c r="L1669" i="93"/>
  <c r="O1665" i="93"/>
  <c r="P1665" i="93"/>
  <c r="H86" i="66"/>
  <c r="H84" i="66"/>
  <c r="H83" i="66"/>
  <c r="I159" i="75"/>
  <c r="D106" i="74" s="1"/>
  <c r="M146" i="75"/>
  <c r="H77" i="74" s="1"/>
  <c r="P141" i="75"/>
  <c r="K48" i="74"/>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E36" i="78" s="1"/>
  <c r="D35" i="78"/>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L58" i="73" s="1"/>
  <c r="P27" i="81"/>
  <c r="L57" i="73"/>
  <c r="O27" i="81"/>
  <c r="L56" i="73"/>
  <c r="N27" i="81"/>
  <c r="R26" i="81"/>
  <c r="L52" i="73" s="1"/>
  <c r="Q26" i="81"/>
  <c r="L51" i="73" s="1"/>
  <c r="P26" i="81"/>
  <c r="O26" i="81"/>
  <c r="L49" i="73"/>
  <c r="N26" i="81"/>
  <c r="L48" i="73"/>
  <c r="R25" i="81"/>
  <c r="L66" i="73" s="1"/>
  <c r="Q25" i="81"/>
  <c r="L65" i="73" s="1"/>
  <c r="P25" i="81"/>
  <c r="O25" i="81"/>
  <c r="L63" i="73" s="1"/>
  <c r="N25" i="81"/>
  <c r="L62" i="73" s="1"/>
  <c r="R24" i="81"/>
  <c r="L45" i="73" s="1"/>
  <c r="Q24" i="81"/>
  <c r="L44" i="73" s="1"/>
  <c r="P24" i="81"/>
  <c r="L43" i="73" s="1"/>
  <c r="O24" i="81"/>
  <c r="L42" i="73"/>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c r="A120" i="74" s="1"/>
  <c r="A32" i="74"/>
  <c r="A62" i="74" s="1"/>
  <c r="A91" i="74" s="1"/>
  <c r="A119" i="74" s="1"/>
  <c r="A31" i="74"/>
  <c r="A61" i="74" s="1"/>
  <c r="A90" i="74" s="1"/>
  <c r="A118" i="74" s="1"/>
  <c r="O165" i="78"/>
  <c r="O9" i="66"/>
  <c r="A2" i="79"/>
  <c r="F25" i="78"/>
  <c r="T172" i="72"/>
  <c r="F160" i="72"/>
  <c r="J362" i="72"/>
  <c r="L356" i="72"/>
  <c r="I356" i="72"/>
  <c r="C356" i="72"/>
  <c r="I337" i="72"/>
  <c r="L295" i="72"/>
  <c r="J295" i="72"/>
  <c r="L294" i="72"/>
  <c r="J213" i="72"/>
  <c r="I210" i="72"/>
  <c r="E210" i="72"/>
  <c r="H273" i="72"/>
  <c r="I97" i="72"/>
  <c r="J68" i="72"/>
  <c r="A2" i="71"/>
  <c r="P433" i="72"/>
  <c r="P1987" i="93"/>
  <c r="O433" i="72"/>
  <c r="O1987" i="93"/>
  <c r="L1987" i="93" s="1"/>
  <c r="H178" i="72"/>
  <c r="K178" i="72"/>
  <c r="H169" i="72"/>
  <c r="G169" i="72"/>
  <c r="D169" i="72"/>
  <c r="H168" i="72"/>
  <c r="G168" i="72"/>
  <c r="D168" i="72"/>
  <c r="H167" i="72"/>
  <c r="G167" i="72"/>
  <c r="D167" i="72"/>
  <c r="R414" i="72"/>
  <c r="P414" i="72"/>
  <c r="P1968" i="93" s="1"/>
  <c r="O414" i="72"/>
  <c r="P397" i="72"/>
  <c r="P1951" i="93"/>
  <c r="S364" i="72"/>
  <c r="N347" i="72"/>
  <c r="L347" i="72"/>
  <c r="P346" i="72"/>
  <c r="P1900" i="93" s="1"/>
  <c r="P316" i="72"/>
  <c r="P1870" i="93" s="1"/>
  <c r="O316" i="72"/>
  <c r="G101" i="90" s="1"/>
  <c r="U288" i="72"/>
  <c r="U287" i="72"/>
  <c r="L222" i="72"/>
  <c r="L1776" i="93" s="1"/>
  <c r="P280" i="72"/>
  <c r="P1834" i="93" s="1"/>
  <c r="O280" i="72"/>
  <c r="O1834" i="93"/>
  <c r="M275" i="72"/>
  <c r="Q274" i="72"/>
  <c r="O15" i="72"/>
  <c r="P12" i="72" s="1"/>
  <c r="J15" i="72"/>
  <c r="P11" i="72" s="1"/>
  <c r="P8" i="72" s="1"/>
  <c r="P1562" i="93" s="1"/>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N11" i="74"/>
  <c r="N3" i="74"/>
  <c r="R161" i="75"/>
  <c r="K159" i="75"/>
  <c r="F106" i="74" s="1"/>
  <c r="J159" i="75"/>
  <c r="E106" i="74"/>
  <c r="H159" i="75"/>
  <c r="C106" i="74"/>
  <c r="G159" i="75"/>
  <c r="B106" i="74" s="1"/>
  <c r="R156" i="75"/>
  <c r="K155" i="75"/>
  <c r="F105" i="74" s="1"/>
  <c r="J155" i="75"/>
  <c r="E105" i="74" s="1"/>
  <c r="I155" i="75"/>
  <c r="D105" i="74" s="1"/>
  <c r="H155" i="75"/>
  <c r="C105" i="74" s="1"/>
  <c r="G155" i="75"/>
  <c r="B105" i="74" s="1"/>
  <c r="S152" i="75"/>
  <c r="P150" i="75"/>
  <c r="K78" i="74"/>
  <c r="O150" i="75"/>
  <c r="J78" i="74" s="1"/>
  <c r="N150" i="75"/>
  <c r="I78" i="74" s="1"/>
  <c r="M150" i="75"/>
  <c r="H78" i="74" s="1"/>
  <c r="L150" i="75"/>
  <c r="G78" i="74"/>
  <c r="K150" i="75"/>
  <c r="F78" i="74" s="1"/>
  <c r="J150" i="75"/>
  <c r="E78" i="74" s="1"/>
  <c r="I150" i="75"/>
  <c r="D78" i="74" s="1"/>
  <c r="H150" i="75"/>
  <c r="C78" i="74"/>
  <c r="G150" i="75"/>
  <c r="B78" i="74" s="1"/>
  <c r="R147" i="75"/>
  <c r="P146" i="75"/>
  <c r="K77" i="74" s="1"/>
  <c r="O146" i="75"/>
  <c r="J77" i="74" s="1"/>
  <c r="N146" i="75"/>
  <c r="I77" i="74" s="1"/>
  <c r="L146" i="75"/>
  <c r="G77" i="74"/>
  <c r="K146" i="75"/>
  <c r="F77" i="74" s="1"/>
  <c r="J146" i="75"/>
  <c r="E77" i="74" s="1"/>
  <c r="I146" i="75"/>
  <c r="D77" i="74" s="1"/>
  <c r="H146" i="75"/>
  <c r="C77" i="74" s="1"/>
  <c r="G146" i="75"/>
  <c r="B77" i="74" s="1"/>
  <c r="S143" i="75"/>
  <c r="O141" i="75"/>
  <c r="J48" i="74"/>
  <c r="N141" i="75"/>
  <c r="I48" i="74" s="1"/>
  <c r="M141" i="75"/>
  <c r="H48" i="74" s="1"/>
  <c r="L141" i="75"/>
  <c r="G48" i="74" s="1"/>
  <c r="R138" i="75"/>
  <c r="P137" i="75"/>
  <c r="K47" i="74" s="1"/>
  <c r="O137" i="75"/>
  <c r="J47" i="74" s="1"/>
  <c r="N137" i="75"/>
  <c r="I47" i="74" s="1"/>
  <c r="M137" i="75"/>
  <c r="H47" i="74" s="1"/>
  <c r="L137" i="75"/>
  <c r="G47" i="74" s="1"/>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BF48" i="75" s="1"/>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K48" i="75" s="1"/>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K48" i="75" s="1"/>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V48" i="75" s="1"/>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G48" i="75" s="1"/>
  <c r="BF15" i="75"/>
  <c r="AU15" i="75"/>
  <c r="AT15" i="75"/>
  <c r="AS15" i="75"/>
  <c r="AR15" i="75"/>
  <c r="AQ15" i="75"/>
  <c r="AK15" i="75"/>
  <c r="AJ15" i="75"/>
  <c r="AJ48" i="75" s="1"/>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T48" i="75" s="1"/>
  <c r="N68" i="75" s="1"/>
  <c r="N70" i="75" s="1"/>
  <c r="BS14" i="75"/>
  <c r="BR14" i="75"/>
  <c r="BQ14" i="75"/>
  <c r="BP14" i="75"/>
  <c r="BO14" i="75"/>
  <c r="BN14" i="75"/>
  <c r="BM14" i="75"/>
  <c r="BL14" i="75"/>
  <c r="BL48" i="75" s="1"/>
  <c r="K69" i="75" s="1"/>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W48" i="75" s="1"/>
  <c r="IV13" i="75"/>
  <c r="IU13" i="75"/>
  <c r="IT13" i="75"/>
  <c r="IS13" i="75"/>
  <c r="IR13" i="75"/>
  <c r="IQ13" i="75"/>
  <c r="IP13" i="75"/>
  <c r="IO13" i="75"/>
  <c r="IO48" i="75" s="1"/>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O48" i="75" s="1"/>
  <c r="N69" i="75" s="1"/>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FA11" i="75"/>
  <c r="EZ11" i="75"/>
  <c r="EY11" i="75"/>
  <c r="EX11" i="75"/>
  <c r="EW11" i="75"/>
  <c r="CX11" i="75"/>
  <c r="CW11" i="75"/>
  <c r="CV11" i="75"/>
  <c r="CU11" i="75"/>
  <c r="CT11" i="75"/>
  <c r="CN11" i="75"/>
  <c r="CM11" i="75"/>
  <c r="CL11" i="75"/>
  <c r="CK11" i="75"/>
  <c r="CJ11" i="75"/>
  <c r="BT11" i="75"/>
  <c r="BS11" i="75"/>
  <c r="BR11" i="75"/>
  <c r="BQ11" i="75"/>
  <c r="BP11" i="75"/>
  <c r="BO11" i="75"/>
  <c r="BN11" i="75"/>
  <c r="BM11" i="75"/>
  <c r="BL11" i="75"/>
  <c r="BK11" i="75"/>
  <c r="BJ11" i="75"/>
  <c r="BI11" i="75"/>
  <c r="BH11" i="75"/>
  <c r="BG11" i="75"/>
  <c r="BF11" i="75"/>
  <c r="AU11" i="75"/>
  <c r="AT11" i="75"/>
  <c r="AS11" i="75"/>
  <c r="AR11" i="75"/>
  <c r="AQ11" i="75"/>
  <c r="AK11" i="75"/>
  <c r="AJ11" i="75"/>
  <c r="AI11" i="75"/>
  <c r="AH11" i="75"/>
  <c r="AG11" i="75"/>
  <c r="A11" i="75"/>
  <c r="JB10" i="75"/>
  <c r="JA10" i="75"/>
  <c r="IZ10" i="75"/>
  <c r="IY10" i="75"/>
  <c r="IX10" i="75"/>
  <c r="IW10" i="75"/>
  <c r="IV10" i="75"/>
  <c r="IU10" i="75"/>
  <c r="IT10" i="75"/>
  <c r="IS10" i="75"/>
  <c r="IR10" i="75"/>
  <c r="IQ10" i="75"/>
  <c r="IP10" i="75"/>
  <c r="IO10" i="75"/>
  <c r="IN10" i="75"/>
  <c r="IM10" i="75"/>
  <c r="IL10" i="75"/>
  <c r="IK10" i="75"/>
  <c r="IJ10" i="75"/>
  <c r="II10" i="75"/>
  <c r="II48" i="75" s="1"/>
  <c r="IH10" i="75"/>
  <c r="IG10" i="75"/>
  <c r="IF10" i="75"/>
  <c r="IE10" i="75"/>
  <c r="ID10" i="75"/>
  <c r="FA10" i="75"/>
  <c r="EZ10" i="75"/>
  <c r="EZ48" i="75" s="1"/>
  <c r="EY10" i="75"/>
  <c r="EX10" i="75"/>
  <c r="EW10" i="75"/>
  <c r="CX10" i="75"/>
  <c r="CW10" i="75"/>
  <c r="CV10" i="75"/>
  <c r="CU10" i="75"/>
  <c r="CT10" i="75"/>
  <c r="CN10" i="75"/>
  <c r="CM10" i="75"/>
  <c r="CL10" i="75"/>
  <c r="CK10" i="75"/>
  <c r="CJ10" i="75"/>
  <c r="BT10" i="75"/>
  <c r="BS10" i="75"/>
  <c r="BR10" i="75"/>
  <c r="BQ10" i="75"/>
  <c r="BP10" i="75"/>
  <c r="BO10" i="75"/>
  <c r="BN10" i="75"/>
  <c r="BM10" i="75"/>
  <c r="BL10" i="75"/>
  <c r="BK10" i="75"/>
  <c r="BJ10" i="75"/>
  <c r="BI10" i="75"/>
  <c r="BH10" i="75"/>
  <c r="BG10" i="75"/>
  <c r="BF10" i="75"/>
  <c r="AU10" i="75"/>
  <c r="AT10" i="75"/>
  <c r="AS10" i="75"/>
  <c r="AR10" i="75"/>
  <c r="AQ10" i="75"/>
  <c r="AK10" i="75"/>
  <c r="AJ10" i="75"/>
  <c r="AI10" i="75"/>
  <c r="AH10" i="75"/>
  <c r="AG10" i="75"/>
  <c r="A10" i="75"/>
  <c r="M37" i="76"/>
  <c r="L37" i="76"/>
  <c r="K37" i="76"/>
  <c r="J37" i="76"/>
  <c r="I37" i="76"/>
  <c r="M21" i="76"/>
  <c r="L21" i="76"/>
  <c r="I26" i="75" s="1"/>
  <c r="I783" i="93" s="1"/>
  <c r="K783" i="93" s="1"/>
  <c r="K21" i="76"/>
  <c r="J21" i="76"/>
  <c r="I21" i="76"/>
  <c r="J166" i="78"/>
  <c r="W161" i="78"/>
  <c r="W148" i="78"/>
  <c r="V146" i="78"/>
  <c r="W138" i="78"/>
  <c r="W137" i="78"/>
  <c r="V130" i="78"/>
  <c r="S130" i="78"/>
  <c r="U129" i="78"/>
  <c r="A129" i="78"/>
  <c r="W127" i="78"/>
  <c r="O127" i="78"/>
  <c r="V126" i="78"/>
  <c r="U125" i="78"/>
  <c r="A125" i="78"/>
  <c r="W119" i="78"/>
  <c r="O119" i="78"/>
  <c r="V118" i="78"/>
  <c r="S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S34" i="68"/>
  <c r="S16" i="68"/>
  <c r="S3" i="68"/>
  <c r="L151" i="67"/>
  <c r="P171" i="66"/>
  <c r="H72" i="66"/>
  <c r="H13" i="84" s="1"/>
  <c r="L38" i="66"/>
  <c r="O1870" i="93"/>
  <c r="A3" i="93"/>
  <c r="J50" i="93"/>
  <c r="C43" i="90"/>
  <c r="H8" i="84"/>
  <c r="F14" i="85" s="1"/>
  <c r="A3" i="83" s="1"/>
  <c r="F93" i="74"/>
  <c r="J93" i="74"/>
  <c r="E121" i="74"/>
  <c r="E34" i="74"/>
  <c r="B93" i="74"/>
  <c r="P84" i="72"/>
  <c r="P1638" i="93" s="1"/>
  <c r="N55" i="66"/>
  <c r="C53" i="82"/>
  <c r="Q55" i="73"/>
  <c r="O51" i="93"/>
  <c r="J64" i="74"/>
  <c r="D121" i="74"/>
  <c r="L433" i="72"/>
  <c r="A1" i="66"/>
  <c r="N51" i="93"/>
  <c r="O420" i="72"/>
  <c r="P55" i="66"/>
  <c r="A1" i="72"/>
  <c r="A1" i="74"/>
  <c r="N1" i="74" s="1"/>
  <c r="A3" i="79"/>
  <c r="F356" i="72"/>
  <c r="A1" i="77"/>
  <c r="M287" i="72"/>
  <c r="A1" i="73"/>
  <c r="A1" i="75"/>
  <c r="U1" i="75" s="1"/>
  <c r="A1" i="78"/>
  <c r="W1" i="78" s="1"/>
  <c r="A1" i="68"/>
  <c r="S1" i="68" s="1"/>
  <c r="T173" i="72"/>
  <c r="A1" i="67"/>
  <c r="T175" i="72"/>
  <c r="I3" i="76"/>
  <c r="I51" i="93"/>
  <c r="A3" i="71"/>
  <c r="A1" i="76"/>
  <c r="P307" i="72"/>
  <c r="P1861" i="93"/>
  <c r="E35" i="78"/>
  <c r="E38" i="78" s="1"/>
  <c r="R37" i="74"/>
  <c r="R29" i="74"/>
  <c r="R25" i="74"/>
  <c r="R21" i="74"/>
  <c r="R35" i="74"/>
  <c r="R31" i="74"/>
  <c r="R23" i="74"/>
  <c r="R26" i="74"/>
  <c r="R22" i="74"/>
  <c r="R36" i="74"/>
  <c r="R32" i="74"/>
  <c r="R28" i="74"/>
  <c r="R24" i="74"/>
  <c r="R20" i="74"/>
  <c r="R27" i="74"/>
  <c r="R19" i="74"/>
  <c r="R38" i="74"/>
  <c r="R34" i="74"/>
  <c r="R30" i="74"/>
  <c r="B121" i="74"/>
  <c r="I92" i="74"/>
  <c r="I93" i="74"/>
  <c r="E64" i="74"/>
  <c r="H64" i="74"/>
  <c r="G93" i="74"/>
  <c r="D120" i="74"/>
  <c r="E93" i="74"/>
  <c r="G64" i="74"/>
  <c r="C121" i="74"/>
  <c r="H93" i="74"/>
  <c r="D64" i="74"/>
  <c r="K64" i="74"/>
  <c r="I64" i="74"/>
  <c r="K93" i="74"/>
  <c r="H92" i="74"/>
  <c r="E120" i="74"/>
  <c r="C93" i="74"/>
  <c r="F121" i="74"/>
  <c r="D93" i="74"/>
  <c r="T213" i="72"/>
  <c r="L303" i="73"/>
  <c r="T174" i="72"/>
  <c r="M6" i="75"/>
  <c r="O6" i="75"/>
  <c r="H15" i="84"/>
  <c r="F18" i="85" s="1"/>
  <c r="K51" i="93"/>
  <c r="T177" i="72"/>
  <c r="G43" i="74"/>
  <c r="H43" i="74" s="1"/>
  <c r="I43" i="74" s="1"/>
  <c r="J43" i="74" s="1"/>
  <c r="K43" i="74" s="1"/>
  <c r="B73" i="74" s="1"/>
  <c r="C73" i="74" s="1"/>
  <c r="D73" i="74" s="1"/>
  <c r="E73" i="74" s="1"/>
  <c r="F73" i="74" s="1"/>
  <c r="G73" i="74" s="1"/>
  <c r="H73" i="74" s="1"/>
  <c r="I73" i="74" s="1"/>
  <c r="J73" i="74" s="1"/>
  <c r="K73" i="74" s="1"/>
  <c r="B101" i="74" s="1"/>
  <c r="C101" i="74" s="1"/>
  <c r="D101" i="74" s="1"/>
  <c r="E101" i="74" s="1"/>
  <c r="F101" i="74" s="1"/>
  <c r="B59" i="82"/>
  <c r="D10" i="25"/>
  <c r="D18" i="25"/>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F408" i="93"/>
  <c r="L388" i="93"/>
  <c r="L389" i="93"/>
  <c r="L30" i="68"/>
  <c r="K55" i="84"/>
  <c r="A47" i="84"/>
  <c r="K58" i="84"/>
  <c r="F56" i="86"/>
  <c r="C8" i="90"/>
  <c r="D15" i="83"/>
  <c r="C29" i="84"/>
  <c r="C36" i="84" s="1"/>
  <c r="R25" i="75"/>
  <c r="R782" i="93" s="1"/>
  <c r="I11" i="75"/>
  <c r="I12" i="75"/>
  <c r="H2" i="91"/>
  <c r="O1900" i="93"/>
  <c r="G58" i="84"/>
  <c r="G60" i="84"/>
  <c r="F15" i="85"/>
  <c r="B1" i="87"/>
  <c r="C1" i="86"/>
  <c r="A2" i="83"/>
  <c r="BD48" i="75"/>
  <c r="M64" i="75" s="1"/>
  <c r="A526" i="93"/>
  <c r="F553" i="93"/>
  <c r="G463" i="93"/>
  <c r="E473" i="93" s="1"/>
  <c r="A450" i="93"/>
  <c r="L746" i="93"/>
  <c r="CW804" i="93"/>
  <c r="CX804" i="93"/>
  <c r="CV804" i="93"/>
  <c r="BT804" i="93"/>
  <c r="CU804" i="93"/>
  <c r="DQ770" i="93"/>
  <c r="DB770" i="93"/>
  <c r="O838" i="93"/>
  <c r="K1656" i="93"/>
  <c r="Q1656" i="93"/>
  <c r="Q1667" i="93"/>
  <c r="L1667" i="93"/>
  <c r="Q1862" i="93"/>
  <c r="K1862" i="93"/>
  <c r="BP791" i="93"/>
  <c r="CV791" i="93"/>
  <c r="AB792" i="93"/>
  <c r="BX792" i="93"/>
  <c r="CV792" i="93"/>
  <c r="CZ792" i="93"/>
  <c r="EE792" i="93"/>
  <c r="JK799" i="93"/>
  <c r="ER782" i="93"/>
  <c r="I898" i="93"/>
  <c r="F945" i="93"/>
  <c r="C971" i="93"/>
  <c r="C970" i="93"/>
  <c r="C972" i="93" s="1"/>
  <c r="J95" i="75"/>
  <c r="AV791" i="93"/>
  <c r="CW791" i="93"/>
  <c r="BU792" i="93"/>
  <c r="BY792" i="93"/>
  <c r="CW792" i="93"/>
  <c r="DA792" i="93"/>
  <c r="CT804" i="93"/>
  <c r="IF803" i="93"/>
  <c r="CS803" i="93"/>
  <c r="AC803" i="93"/>
  <c r="CR803" i="93"/>
  <c r="BE803" i="93"/>
  <c r="CH803" i="93"/>
  <c r="BD803" i="93"/>
  <c r="JP800" i="93"/>
  <c r="JQ800" i="93"/>
  <c r="JK800" i="93"/>
  <c r="JF800" i="93"/>
  <c r="JO800" i="93"/>
  <c r="JJ800" i="93"/>
  <c r="JE800" i="93"/>
  <c r="JN800" i="93"/>
  <c r="JJ803" i="93"/>
  <c r="JD803" i="93"/>
  <c r="ER803" i="93"/>
  <c r="DT803" i="93"/>
  <c r="JI803" i="93"/>
  <c r="IV803" i="93"/>
  <c r="EO803" i="93"/>
  <c r="DP803" i="93"/>
  <c r="JL803" i="93"/>
  <c r="JH803" i="93"/>
  <c r="IS803" i="93"/>
  <c r="EF803" i="93"/>
  <c r="DE803" i="93"/>
  <c r="F925" i="93"/>
  <c r="H1010" i="93"/>
  <c r="BB791" i="93"/>
  <c r="BV792" i="93"/>
  <c r="CA792" i="93"/>
  <c r="CX792" i="93"/>
  <c r="DB792" i="93"/>
  <c r="ID792" i="93"/>
  <c r="M898" i="93"/>
  <c r="N907" i="93"/>
  <c r="FW48" i="75"/>
  <c r="K99" i="75" s="1"/>
  <c r="FO48" i="75"/>
  <c r="M101" i="75" s="1"/>
  <c r="M91" i="75"/>
  <c r="M108" i="75" s="1"/>
  <c r="L41" i="73"/>
  <c r="N95" i="75"/>
  <c r="K97" i="75"/>
  <c r="FM48" i="75"/>
  <c r="K101" i="75" s="1"/>
  <c r="M99" i="75"/>
  <c r="M1717" i="93"/>
  <c r="O1717" i="93"/>
  <c r="M1719" i="93"/>
  <c r="O1719" i="93" s="1"/>
  <c r="L1873" i="93"/>
  <c r="Q1873" i="93"/>
  <c r="L95" i="75"/>
  <c r="L104" i="75" s="1"/>
  <c r="M97" i="75"/>
  <c r="Q1762" i="93"/>
  <c r="L1762" i="93"/>
  <c r="J1935" i="93"/>
  <c r="HB48" i="75"/>
  <c r="L89" i="75" s="1"/>
  <c r="L110" i="75" s="1"/>
  <c r="F64" i="73" s="1"/>
  <c r="FU48" i="75"/>
  <c r="N102" i="75" s="1"/>
  <c r="JN48" i="75"/>
  <c r="JK48" i="75"/>
  <c r="P185" i="75" s="1"/>
  <c r="JG48" i="75"/>
  <c r="Y48" i="75"/>
  <c r="L56" i="75"/>
  <c r="R33" i="74"/>
  <c r="FT48" i="75"/>
  <c r="M102" i="75" s="1"/>
  <c r="FR48" i="75"/>
  <c r="K102" i="75" s="1"/>
  <c r="FQ48" i="75"/>
  <c r="J102" i="75" s="1"/>
  <c r="JP48" i="75"/>
  <c r="JL48" i="75"/>
  <c r="JC48" i="75"/>
  <c r="GQ48" i="75"/>
  <c r="K87" i="75" s="1"/>
  <c r="K106" i="75" s="1"/>
  <c r="F49" i="73" s="1"/>
  <c r="M87" i="75"/>
  <c r="HV48" i="75"/>
  <c r="L93" i="75" s="1"/>
  <c r="HD48" i="75"/>
  <c r="N89" i="75" s="1"/>
  <c r="L64" i="73"/>
  <c r="L59" i="73"/>
  <c r="L55" i="73"/>
  <c r="L50" i="73"/>
  <c r="L1901" i="93"/>
  <c r="L1923" i="93"/>
  <c r="BU48" i="75"/>
  <c r="J61" i="75" s="1"/>
  <c r="JQ48" i="75"/>
  <c r="JH48" i="75"/>
  <c r="JD48" i="75"/>
  <c r="R10" i="75"/>
  <c r="R767" i="93" s="1"/>
  <c r="FK48" i="75"/>
  <c r="N96" i="75" s="1"/>
  <c r="O96" i="75" s="1"/>
  <c r="GN48" i="75"/>
  <c r="M98" i="75" s="1"/>
  <c r="GM48" i="75"/>
  <c r="L98" i="75" s="1"/>
  <c r="GL48" i="75"/>
  <c r="K98" i="75" s="1"/>
  <c r="JM48" i="75"/>
  <c r="O186" i="75" s="1"/>
  <c r="JI48" i="75"/>
  <c r="JF48" i="75"/>
  <c r="HY804" i="93"/>
  <c r="FG804" i="93"/>
  <c r="GK804" i="93"/>
  <c r="GA804" i="93"/>
  <c r="FQ804" i="93"/>
  <c r="HE804" i="93"/>
  <c r="GV804" i="93"/>
  <c r="HF804" i="93"/>
  <c r="HP804" i="93"/>
  <c r="HZ804" i="93"/>
  <c r="FH804" i="93"/>
  <c r="GL804" i="93"/>
  <c r="GB804" i="93"/>
  <c r="FR804" i="93"/>
  <c r="HO804" i="93"/>
  <c r="GU804" i="93"/>
  <c r="HG804" i="93"/>
  <c r="IA804" i="93"/>
  <c r="GM804" i="93"/>
  <c r="GY804" i="93"/>
  <c r="HI804" i="93"/>
  <c r="HS804" i="93"/>
  <c r="IC804" i="93"/>
  <c r="FK804" i="93"/>
  <c r="GO804" i="93"/>
  <c r="GE804" i="93"/>
  <c r="FU804" i="93"/>
  <c r="HE800" i="93"/>
  <c r="HY800" i="93"/>
  <c r="FG800" i="93"/>
  <c r="GK800" i="93"/>
  <c r="GA800" i="93"/>
  <c r="FQ800" i="93"/>
  <c r="HO800" i="93"/>
  <c r="GV800" i="93"/>
  <c r="HF800" i="93"/>
  <c r="HZ800" i="93"/>
  <c r="FH800" i="93"/>
  <c r="GL800" i="93"/>
  <c r="GB800" i="93"/>
  <c r="FR800" i="93"/>
  <c r="HP800" i="93"/>
  <c r="GU800" i="93"/>
  <c r="GY800" i="93"/>
  <c r="HI800" i="93"/>
  <c r="HS800" i="93"/>
  <c r="IC800" i="93"/>
  <c r="FK800" i="93"/>
  <c r="GO800" i="93"/>
  <c r="GE800" i="93"/>
  <c r="FU800" i="93"/>
  <c r="FG796" i="93"/>
  <c r="GA796" i="93"/>
  <c r="HY796" i="93"/>
  <c r="GV796" i="93"/>
  <c r="HZ796" i="93"/>
  <c r="GL796" i="93"/>
  <c r="GU796" i="93"/>
  <c r="HP796" i="93"/>
  <c r="HQ796" i="93"/>
  <c r="GC796" i="93"/>
  <c r="HS796" i="93"/>
  <c r="IC796" i="93"/>
  <c r="GO796" i="93"/>
  <c r="FU796" i="93"/>
  <c r="HE792" i="93"/>
  <c r="HO792" i="93"/>
  <c r="FG792" i="93"/>
  <c r="GK792" i="93"/>
  <c r="GA792" i="93"/>
  <c r="FQ792" i="93"/>
  <c r="GV792" i="93"/>
  <c r="HF792" i="93"/>
  <c r="FH792" i="93"/>
  <c r="GL792" i="93"/>
  <c r="GB792" i="93"/>
  <c r="FR792" i="93"/>
  <c r="HY792" i="93"/>
  <c r="HZ792" i="93"/>
  <c r="GU792" i="93"/>
  <c r="GY792" i="93"/>
  <c r="HI792" i="93"/>
  <c r="HS792" i="93"/>
  <c r="IC792" i="93"/>
  <c r="FK792" i="93"/>
  <c r="GO792" i="93"/>
  <c r="GE792" i="93"/>
  <c r="FU792" i="93"/>
  <c r="FG788" i="93"/>
  <c r="GK788" i="93"/>
  <c r="GA788" i="93"/>
  <c r="FQ788" i="93"/>
  <c r="HY788" i="93"/>
  <c r="GV788" i="93"/>
  <c r="HF788" i="93"/>
  <c r="HO788" i="93"/>
  <c r="HP788" i="93"/>
  <c r="FH788" i="93"/>
  <c r="GL788" i="93"/>
  <c r="GB788" i="93"/>
  <c r="FR788" i="93"/>
  <c r="GU788" i="93"/>
  <c r="HZ788" i="93"/>
  <c r="HG788" i="93"/>
  <c r="IA788" i="93"/>
  <c r="GM788" i="93"/>
  <c r="FS788" i="93"/>
  <c r="GY788" i="93"/>
  <c r="HI788" i="93"/>
  <c r="HS788" i="93"/>
  <c r="IC788" i="93"/>
  <c r="FK788" i="93"/>
  <c r="GO788" i="93"/>
  <c r="GE788" i="93"/>
  <c r="FU788" i="93"/>
  <c r="HE784" i="93"/>
  <c r="HY784" i="93"/>
  <c r="FG784" i="93"/>
  <c r="GK784" i="93"/>
  <c r="GA784" i="93"/>
  <c r="FQ784" i="93"/>
  <c r="HO784" i="93"/>
  <c r="GV784" i="93"/>
  <c r="HF784" i="93"/>
  <c r="FH784" i="93"/>
  <c r="GL784" i="93"/>
  <c r="GB784" i="93"/>
  <c r="FR784" i="93"/>
  <c r="HP784" i="93"/>
  <c r="GU784" i="93"/>
  <c r="GY784" i="93"/>
  <c r="HI784" i="93"/>
  <c r="HS784" i="93"/>
  <c r="IC784" i="93"/>
  <c r="FK784" i="93"/>
  <c r="GO784" i="93"/>
  <c r="GE784" i="93"/>
  <c r="FU784" i="93"/>
  <c r="FG780" i="93"/>
  <c r="GK780" i="93"/>
  <c r="GA780" i="93"/>
  <c r="FQ780" i="93"/>
  <c r="HY780" i="93"/>
  <c r="GV780" i="93"/>
  <c r="HF780" i="93"/>
  <c r="HZ780" i="93"/>
  <c r="FH780" i="93"/>
  <c r="GL780" i="93"/>
  <c r="GB780" i="93"/>
  <c r="FR780" i="93"/>
  <c r="HE780" i="93"/>
  <c r="GU780" i="93"/>
  <c r="GW780" i="93"/>
  <c r="HQ780" i="93"/>
  <c r="FI780" i="93"/>
  <c r="GC780" i="93"/>
  <c r="GY780" i="93"/>
  <c r="HI780" i="93"/>
  <c r="HS780" i="93"/>
  <c r="IC780" i="93"/>
  <c r="FK780" i="93"/>
  <c r="GO780" i="93"/>
  <c r="GE780" i="93"/>
  <c r="FU780" i="93"/>
  <c r="HE776" i="93"/>
  <c r="HO776" i="93"/>
  <c r="FG776" i="93"/>
  <c r="GK776" i="93"/>
  <c r="GA776" i="93"/>
  <c r="FQ776" i="93"/>
  <c r="GV776" i="93"/>
  <c r="HF776" i="93"/>
  <c r="HP776" i="93"/>
  <c r="HY776" i="93"/>
  <c r="FH776" i="93"/>
  <c r="GL776" i="93"/>
  <c r="GB776" i="93"/>
  <c r="FR776" i="93"/>
  <c r="HZ776" i="93"/>
  <c r="GU776" i="93"/>
  <c r="GY776" i="93"/>
  <c r="HI776" i="93"/>
  <c r="HS776" i="93"/>
  <c r="IC776" i="93"/>
  <c r="FK776" i="93"/>
  <c r="GO776" i="93"/>
  <c r="GE776" i="93"/>
  <c r="FU776" i="93"/>
  <c r="FG772" i="93"/>
  <c r="GK772" i="93"/>
  <c r="GA772" i="93"/>
  <c r="FQ772" i="93"/>
  <c r="HE772" i="93"/>
  <c r="HY772" i="93"/>
  <c r="HO772" i="93"/>
  <c r="GV772" i="93"/>
  <c r="HF772" i="93"/>
  <c r="HP772" i="93"/>
  <c r="FH772" i="93"/>
  <c r="GL772" i="93"/>
  <c r="GB772" i="93"/>
  <c r="FR772" i="93"/>
  <c r="GU772" i="93"/>
  <c r="HG772" i="93"/>
  <c r="IA772" i="93"/>
  <c r="GM772" i="93"/>
  <c r="FS772" i="93"/>
  <c r="GY772" i="93"/>
  <c r="HI772" i="93"/>
  <c r="HS772" i="93"/>
  <c r="IC772" i="93"/>
  <c r="FK772" i="93"/>
  <c r="GO772" i="93"/>
  <c r="GE772" i="93"/>
  <c r="FU772" i="93"/>
  <c r="HY768" i="93"/>
  <c r="GA768" i="93"/>
  <c r="FQ768" i="93"/>
  <c r="HF768" i="93"/>
  <c r="FH768" i="93"/>
  <c r="FR768" i="93"/>
  <c r="GU768" i="93"/>
  <c r="HI768" i="93"/>
  <c r="IC768" i="93"/>
  <c r="GE768" i="93"/>
  <c r="FU768" i="93"/>
  <c r="W768" i="93"/>
  <c r="Z768" i="93"/>
  <c r="AD768" i="93"/>
  <c r="AH768" i="93"/>
  <c r="AL768" i="93"/>
  <c r="AP768" i="93"/>
  <c r="AS768" i="93"/>
  <c r="AW768" i="93"/>
  <c r="BA768" i="93"/>
  <c r="GB48" i="75"/>
  <c r="K100" i="75" s="1"/>
  <c r="AY768" i="93"/>
  <c r="AT768" i="93"/>
  <c r="AO768" i="93"/>
  <c r="AJ768" i="93"/>
  <c r="AE768" i="93"/>
  <c r="Y768" i="93"/>
  <c r="Q768" i="93"/>
  <c r="Q776" i="93"/>
  <c r="FT804" i="93"/>
  <c r="FT788" i="93"/>
  <c r="FT772" i="93"/>
  <c r="GD780" i="93"/>
  <c r="GN804" i="93"/>
  <c r="GN788" i="93"/>
  <c r="GN772" i="93"/>
  <c r="FJ780" i="93"/>
  <c r="IB804" i="93"/>
  <c r="IB788" i="93"/>
  <c r="IB772" i="93"/>
  <c r="HR796" i="93"/>
  <c r="HR780" i="93"/>
  <c r="HH804" i="93"/>
  <c r="HH788" i="93"/>
  <c r="HH772" i="93"/>
  <c r="GX780" i="93"/>
  <c r="FS800" i="93"/>
  <c r="FS780" i="93"/>
  <c r="GC792" i="93"/>
  <c r="GC784" i="93"/>
  <c r="GM768" i="93"/>
  <c r="FI800" i="93"/>
  <c r="FI772" i="93"/>
  <c r="IA784" i="93"/>
  <c r="IA776" i="93"/>
  <c r="HQ788" i="93"/>
  <c r="HG800" i="93"/>
  <c r="HG792" i="93"/>
  <c r="GW804" i="93"/>
  <c r="GW776" i="93"/>
  <c r="HZ768" i="93"/>
  <c r="HP792" i="93"/>
  <c r="HP780" i="93"/>
  <c r="HO780" i="93"/>
  <c r="HY801" i="93"/>
  <c r="GK801" i="93"/>
  <c r="FQ801" i="93"/>
  <c r="HO801" i="93"/>
  <c r="GA801" i="93"/>
  <c r="GV801" i="93"/>
  <c r="HF801" i="93"/>
  <c r="HE801" i="93"/>
  <c r="HZ801" i="93"/>
  <c r="FH801" i="93"/>
  <c r="GL801" i="93"/>
  <c r="GB801" i="93"/>
  <c r="GU801" i="93"/>
  <c r="GW801" i="93"/>
  <c r="HQ801" i="93"/>
  <c r="FI801" i="93"/>
  <c r="GC801" i="93"/>
  <c r="GX801" i="93"/>
  <c r="HH801" i="93"/>
  <c r="HR801" i="93"/>
  <c r="IB801" i="93"/>
  <c r="FJ801" i="93"/>
  <c r="GN801" i="93"/>
  <c r="GD801" i="93"/>
  <c r="FT801" i="93"/>
  <c r="HO797" i="93"/>
  <c r="GK797" i="93"/>
  <c r="FQ797" i="93"/>
  <c r="HE797" i="93"/>
  <c r="FG797" i="93"/>
  <c r="HZ797" i="93"/>
  <c r="FH797" i="93"/>
  <c r="GL797" i="93"/>
  <c r="GB797" i="93"/>
  <c r="GU797" i="93"/>
  <c r="HF797" i="93"/>
  <c r="GX797" i="93"/>
  <c r="HH797" i="93"/>
  <c r="HR797" i="93"/>
  <c r="IB797" i="93"/>
  <c r="FJ797" i="93"/>
  <c r="GN797" i="93"/>
  <c r="GD797" i="93"/>
  <c r="FT797" i="93"/>
  <c r="HE793" i="93"/>
  <c r="HY793" i="93"/>
  <c r="FG793" i="93"/>
  <c r="GA793" i="93"/>
  <c r="HO793" i="93"/>
  <c r="FQ793" i="93"/>
  <c r="GV793" i="93"/>
  <c r="HF793" i="93"/>
  <c r="HP793" i="93"/>
  <c r="FH793" i="93"/>
  <c r="GL793" i="93"/>
  <c r="GB793" i="93"/>
  <c r="GU793" i="93"/>
  <c r="GK793" i="93"/>
  <c r="HG793" i="93"/>
  <c r="IA793" i="93"/>
  <c r="GM793" i="93"/>
  <c r="FS793" i="93"/>
  <c r="GX793" i="93"/>
  <c r="HH793" i="93"/>
  <c r="HR793" i="93"/>
  <c r="IB793" i="93"/>
  <c r="FJ793" i="93"/>
  <c r="GN793" i="93"/>
  <c r="GD793" i="93"/>
  <c r="FT793" i="93"/>
  <c r="HY789" i="93"/>
  <c r="FG789" i="93"/>
  <c r="GA789" i="93"/>
  <c r="HO789" i="93"/>
  <c r="GK789" i="93"/>
  <c r="HP789" i="93"/>
  <c r="FH789" i="93"/>
  <c r="GL789" i="93"/>
  <c r="GB789" i="93"/>
  <c r="GU789" i="93"/>
  <c r="GV789" i="93"/>
  <c r="FR789" i="93"/>
  <c r="GX789" i="93"/>
  <c r="HH789" i="93"/>
  <c r="HR789" i="93"/>
  <c r="IB789" i="93"/>
  <c r="FJ789" i="93"/>
  <c r="GN789" i="93"/>
  <c r="GD789" i="93"/>
  <c r="FT789" i="93"/>
  <c r="GK785" i="93"/>
  <c r="FQ785" i="93"/>
  <c r="HE785" i="93"/>
  <c r="HO785" i="93"/>
  <c r="FG785" i="93"/>
  <c r="GV785" i="93"/>
  <c r="HF785" i="93"/>
  <c r="HZ785" i="93"/>
  <c r="FH785" i="93"/>
  <c r="GL785" i="93"/>
  <c r="GB785" i="93"/>
  <c r="GU785" i="93"/>
  <c r="HP785" i="93"/>
  <c r="GW785" i="93"/>
  <c r="HQ785" i="93"/>
  <c r="FI785" i="93"/>
  <c r="GC785" i="93"/>
  <c r="GX785" i="93"/>
  <c r="HH785" i="93"/>
  <c r="HR785" i="93"/>
  <c r="IB785" i="93"/>
  <c r="FJ785" i="93"/>
  <c r="GN785" i="93"/>
  <c r="GD785" i="93"/>
  <c r="FT785" i="93"/>
  <c r="HO781" i="93"/>
  <c r="HE781" i="93"/>
  <c r="HY781" i="93"/>
  <c r="GK781" i="93"/>
  <c r="FQ781" i="93"/>
  <c r="GA781" i="93"/>
  <c r="HZ781" i="93"/>
  <c r="FH781" i="93"/>
  <c r="GL781" i="93"/>
  <c r="GB781" i="93"/>
  <c r="GU781" i="93"/>
  <c r="HF781" i="93"/>
  <c r="GX781" i="93"/>
  <c r="HH781" i="93"/>
  <c r="HR781" i="93"/>
  <c r="IB781" i="93"/>
  <c r="FJ781" i="93"/>
  <c r="GN781" i="93"/>
  <c r="GD781" i="93"/>
  <c r="FT781" i="93"/>
  <c r="HO777" i="93"/>
  <c r="GA777" i="93"/>
  <c r="GV777" i="93"/>
  <c r="HF777" i="93"/>
  <c r="HP777" i="93"/>
  <c r="HY777" i="93"/>
  <c r="GL777" i="93"/>
  <c r="FQ777" i="93"/>
  <c r="HZ777" i="93"/>
  <c r="HG777" i="93"/>
  <c r="IA777" i="93"/>
  <c r="FS777" i="93"/>
  <c r="HR777" i="93"/>
  <c r="IB777" i="93"/>
  <c r="FJ777" i="93"/>
  <c r="GN777" i="93"/>
  <c r="FT777" i="93"/>
  <c r="HY773" i="93"/>
  <c r="HE773" i="93"/>
  <c r="FG773" i="93"/>
  <c r="GA773" i="93"/>
  <c r="HO773" i="93"/>
  <c r="FQ773" i="93"/>
  <c r="FH773" i="93"/>
  <c r="GL773" i="93"/>
  <c r="GB773" i="93"/>
  <c r="GU773" i="93"/>
  <c r="GV773" i="93"/>
  <c r="HP773" i="93"/>
  <c r="FR773" i="93"/>
  <c r="GX773" i="93"/>
  <c r="HH773" i="93"/>
  <c r="HR773" i="93"/>
  <c r="IB773" i="93"/>
  <c r="FJ773" i="93"/>
  <c r="GN773" i="93"/>
  <c r="GD773" i="93"/>
  <c r="FT773" i="93"/>
  <c r="HE769" i="93"/>
  <c r="HO769" i="93"/>
  <c r="GK769" i="93"/>
  <c r="FQ769" i="93"/>
  <c r="GA769" i="93"/>
  <c r="GV769" i="93"/>
  <c r="HF769" i="93"/>
  <c r="HP769" i="93"/>
  <c r="HZ769" i="93"/>
  <c r="FH769" i="93"/>
  <c r="GL769" i="93"/>
  <c r="GB769" i="93"/>
  <c r="FR769" i="93"/>
  <c r="GU769" i="93"/>
  <c r="FG769" i="93"/>
  <c r="GW769" i="93"/>
  <c r="HQ769" i="93"/>
  <c r="FI769" i="93"/>
  <c r="GC769" i="93"/>
  <c r="GX769" i="93"/>
  <c r="HH769" i="93"/>
  <c r="HR769" i="93"/>
  <c r="IB769" i="93"/>
  <c r="FJ769" i="93"/>
  <c r="GN769" i="93"/>
  <c r="GD769" i="93"/>
  <c r="FT769" i="93"/>
  <c r="F56" i="74"/>
  <c r="E55" i="74"/>
  <c r="D54" i="74"/>
  <c r="D1010" i="93" s="1"/>
  <c r="B56" i="74"/>
  <c r="B1012" i="93" s="1"/>
  <c r="B1020" i="93" s="1"/>
  <c r="K25" i="74"/>
  <c r="J24" i="74"/>
  <c r="J980" i="93" s="1"/>
  <c r="H26" i="74"/>
  <c r="G25" i="74"/>
  <c r="F24" i="74"/>
  <c r="D26" i="74"/>
  <c r="D34" i="74" s="1"/>
  <c r="C25" i="74"/>
  <c r="FI48" i="75"/>
  <c r="L96" i="75"/>
  <c r="AX768" i="93"/>
  <c r="AR768" i="93"/>
  <c r="AN768" i="93"/>
  <c r="AI768" i="93"/>
  <c r="AC768" i="93"/>
  <c r="X768" i="93"/>
  <c r="AZ767" i="93"/>
  <c r="Q767" i="93"/>
  <c r="Q775" i="93"/>
  <c r="Q783" i="93"/>
  <c r="FT792" i="93"/>
  <c r="FT776" i="93"/>
  <c r="GD800" i="93"/>
  <c r="GD784" i="93"/>
  <c r="GD768" i="93"/>
  <c r="GN792" i="93"/>
  <c r="GN776" i="93"/>
  <c r="FJ800" i="93"/>
  <c r="FJ784" i="93"/>
  <c r="IB792" i="93"/>
  <c r="IB776" i="93"/>
  <c r="HR800" i="93"/>
  <c r="HR784" i="93"/>
  <c r="HH792" i="93"/>
  <c r="HH776" i="93"/>
  <c r="GX800" i="93"/>
  <c r="GX784" i="93"/>
  <c r="GX768" i="93"/>
  <c r="FS804" i="93"/>
  <c r="FS792" i="93"/>
  <c r="GC804" i="93"/>
  <c r="GC776" i="93"/>
  <c r="GM780" i="93"/>
  <c r="FI792" i="93"/>
  <c r="FI784" i="93"/>
  <c r="IA796" i="93"/>
  <c r="IA768" i="93"/>
  <c r="HQ800" i="93"/>
  <c r="HQ772" i="93"/>
  <c r="HG784" i="93"/>
  <c r="HG776" i="93"/>
  <c r="GW788" i="93"/>
  <c r="HZ793" i="93"/>
  <c r="HF773" i="93"/>
  <c r="GA797" i="93"/>
  <c r="HY769" i="93"/>
  <c r="HO768" i="93"/>
  <c r="HE802" i="93"/>
  <c r="HO802" i="93"/>
  <c r="HY802" i="93"/>
  <c r="GK802" i="93"/>
  <c r="FQ802" i="93"/>
  <c r="GA802" i="93"/>
  <c r="GV802" i="93"/>
  <c r="HF802" i="93"/>
  <c r="GU802" i="93"/>
  <c r="FS802" i="93"/>
  <c r="HE798" i="93"/>
  <c r="HO798" i="93"/>
  <c r="HY798" i="93"/>
  <c r="FG798" i="93"/>
  <c r="GA798" i="93"/>
  <c r="GK798" i="93"/>
  <c r="HP798" i="93"/>
  <c r="GU798" i="93"/>
  <c r="FQ798" i="93"/>
  <c r="HZ798" i="93"/>
  <c r="FH798" i="93"/>
  <c r="GL798" i="93"/>
  <c r="GB798" i="93"/>
  <c r="HG798" i="93"/>
  <c r="IA798" i="93"/>
  <c r="GM798" i="93"/>
  <c r="FS798" i="93"/>
  <c r="HE794" i="93"/>
  <c r="HO794" i="93"/>
  <c r="HY794" i="93"/>
  <c r="GA794" i="93"/>
  <c r="HF794" i="93"/>
  <c r="HP794" i="93"/>
  <c r="GU794" i="93"/>
  <c r="FR794" i="93"/>
  <c r="HE790" i="93"/>
  <c r="HO790" i="93"/>
  <c r="HY790" i="93"/>
  <c r="GK790" i="93"/>
  <c r="FQ790" i="93"/>
  <c r="GA790" i="93"/>
  <c r="HZ790" i="93"/>
  <c r="GU790" i="93"/>
  <c r="FG790" i="93"/>
  <c r="FH790" i="93"/>
  <c r="GL790" i="93"/>
  <c r="GB790" i="93"/>
  <c r="GW790" i="93"/>
  <c r="HQ790" i="93"/>
  <c r="FI790" i="93"/>
  <c r="GC790" i="93"/>
  <c r="HE786" i="93"/>
  <c r="HO786" i="93"/>
  <c r="HY786" i="93"/>
  <c r="GK786" i="93"/>
  <c r="FQ786" i="93"/>
  <c r="FG786" i="93"/>
  <c r="GV786" i="93"/>
  <c r="HF786" i="93"/>
  <c r="HZ786" i="93"/>
  <c r="GU786" i="93"/>
  <c r="HE782" i="93"/>
  <c r="HO782" i="93"/>
  <c r="HY782" i="93"/>
  <c r="FG782" i="93"/>
  <c r="GA782" i="93"/>
  <c r="FQ782" i="93"/>
  <c r="HP782" i="93"/>
  <c r="GU782" i="93"/>
  <c r="FH782" i="93"/>
  <c r="GL782" i="93"/>
  <c r="GB782" i="93"/>
  <c r="HG782" i="93"/>
  <c r="IA782" i="93"/>
  <c r="GM782" i="93"/>
  <c r="FS782" i="93"/>
  <c r="HE778" i="93"/>
  <c r="HO778" i="93"/>
  <c r="HY778" i="93"/>
  <c r="FG778" i="93"/>
  <c r="GA778" i="93"/>
  <c r="GK778" i="93"/>
  <c r="GV778" i="93"/>
  <c r="HF778" i="93"/>
  <c r="HP778" i="93"/>
  <c r="GU778" i="93"/>
  <c r="FR778" i="93"/>
  <c r="HE774" i="93"/>
  <c r="HO774" i="93"/>
  <c r="HY774" i="93"/>
  <c r="GK774" i="93"/>
  <c r="FQ774" i="93"/>
  <c r="FG774" i="93"/>
  <c r="HZ774" i="93"/>
  <c r="GU774" i="93"/>
  <c r="GA774" i="93"/>
  <c r="FH774" i="93"/>
  <c r="GL774" i="93"/>
  <c r="GB774" i="93"/>
  <c r="GW774" i="93"/>
  <c r="HQ774" i="93"/>
  <c r="FI774" i="93"/>
  <c r="GC774" i="93"/>
  <c r="HE770" i="93"/>
  <c r="HO770" i="93"/>
  <c r="HY770" i="93"/>
  <c r="GK770" i="93"/>
  <c r="FQ770" i="93"/>
  <c r="GA770" i="93"/>
  <c r="GV770" i="93"/>
  <c r="HF770" i="93"/>
  <c r="HP770" i="93"/>
  <c r="HZ770" i="93"/>
  <c r="GU770" i="93"/>
  <c r="GJ48" i="75"/>
  <c r="N97" i="75" s="1"/>
  <c r="E54" i="74"/>
  <c r="C56" i="74"/>
  <c r="K24" i="74"/>
  <c r="K980" i="93" s="1"/>
  <c r="I26" i="74"/>
  <c r="I982" i="93" s="1"/>
  <c r="I990" i="93" s="1"/>
  <c r="G24" i="74"/>
  <c r="G980" i="93" s="1"/>
  <c r="GD48" i="75"/>
  <c r="M100" i="75" s="1"/>
  <c r="BB768" i="93"/>
  <c r="AV768" i="93"/>
  <c r="AQ768" i="93"/>
  <c r="AM768" i="93"/>
  <c r="AG768" i="93"/>
  <c r="AB768" i="93"/>
  <c r="FT796" i="93"/>
  <c r="FT780" i="93"/>
  <c r="GD804" i="93"/>
  <c r="GD788" i="93"/>
  <c r="GD772" i="93"/>
  <c r="GN780" i="93"/>
  <c r="FJ804" i="93"/>
  <c r="FJ788" i="93"/>
  <c r="FJ772" i="93"/>
  <c r="IB802" i="93"/>
  <c r="IB786" i="93"/>
  <c r="IB780" i="93"/>
  <c r="IB770" i="93"/>
  <c r="HR804" i="93"/>
  <c r="HR794" i="93"/>
  <c r="HR788" i="93"/>
  <c r="HR778" i="93"/>
  <c r="HR772" i="93"/>
  <c r="HH802" i="93"/>
  <c r="HH786" i="93"/>
  <c r="HH780" i="93"/>
  <c r="HH770" i="93"/>
  <c r="GX804" i="93"/>
  <c r="GX794" i="93"/>
  <c r="GX788" i="93"/>
  <c r="GX778" i="93"/>
  <c r="GX772" i="93"/>
  <c r="FS797" i="93"/>
  <c r="FS790" i="93"/>
  <c r="FS784" i="93"/>
  <c r="FS776" i="93"/>
  <c r="FS769" i="93"/>
  <c r="GC802" i="93"/>
  <c r="GC794" i="93"/>
  <c r="GC788" i="93"/>
  <c r="GC781" i="93"/>
  <c r="GC773" i="93"/>
  <c r="GM800" i="93"/>
  <c r="GM792" i="93"/>
  <c r="GM785" i="93"/>
  <c r="GM778" i="93"/>
  <c r="GM770" i="93"/>
  <c r="FI804" i="93"/>
  <c r="FI797" i="93"/>
  <c r="FI789" i="93"/>
  <c r="FI782" i="93"/>
  <c r="FI776" i="93"/>
  <c r="FI768" i="93"/>
  <c r="IA801" i="93"/>
  <c r="IA794" i="93"/>
  <c r="IA786" i="93"/>
  <c r="IA780" i="93"/>
  <c r="IA773" i="93"/>
  <c r="HQ798" i="93"/>
  <c r="HQ792" i="93"/>
  <c r="HQ784" i="93"/>
  <c r="HQ770" i="93"/>
  <c r="HG802" i="93"/>
  <c r="HG796" i="93"/>
  <c r="HG789" i="93"/>
  <c r="HG781" i="93"/>
  <c r="HG774" i="93"/>
  <c r="HG768" i="93"/>
  <c r="GW800" i="93"/>
  <c r="GW793" i="93"/>
  <c r="GW786" i="93"/>
  <c r="GW778" i="93"/>
  <c r="GW772" i="93"/>
  <c r="FR798" i="93"/>
  <c r="FR785" i="93"/>
  <c r="FR777" i="93"/>
  <c r="FR770" i="93"/>
  <c r="GB778" i="93"/>
  <c r="GL786" i="93"/>
  <c r="FH794" i="93"/>
  <c r="HZ802" i="93"/>
  <c r="HZ789" i="93"/>
  <c r="HZ773" i="93"/>
  <c r="HP801" i="93"/>
  <c r="HP786" i="93"/>
  <c r="HF789" i="93"/>
  <c r="GV782" i="93"/>
  <c r="FQ778" i="93"/>
  <c r="GA786" i="93"/>
  <c r="GK773" i="93"/>
  <c r="FG781" i="93"/>
  <c r="HY797" i="93"/>
  <c r="HE789" i="93"/>
  <c r="HO803" i="93"/>
  <c r="HE803" i="93"/>
  <c r="FG803" i="93"/>
  <c r="GA803" i="93"/>
  <c r="GV803" i="93"/>
  <c r="HF803" i="93"/>
  <c r="HP803" i="93"/>
  <c r="HY803" i="93"/>
  <c r="GW803" i="93"/>
  <c r="HG803" i="93"/>
  <c r="HQ803" i="93"/>
  <c r="IA803" i="93"/>
  <c r="FI803" i="93"/>
  <c r="GM803" i="93"/>
  <c r="GC803" i="93"/>
  <c r="FQ803" i="93"/>
  <c r="GU803" i="93"/>
  <c r="HE799" i="93"/>
  <c r="HO799" i="93"/>
  <c r="GV799" i="93"/>
  <c r="HF799" i="93"/>
  <c r="HP799" i="93"/>
  <c r="FG799" i="93"/>
  <c r="GA799" i="93"/>
  <c r="GW799" i="93"/>
  <c r="HG799" i="93"/>
  <c r="HQ799" i="93"/>
  <c r="IA799" i="93"/>
  <c r="FI799" i="93"/>
  <c r="GM799" i="93"/>
  <c r="GC799" i="93"/>
  <c r="GK799" i="93"/>
  <c r="GU799" i="93"/>
  <c r="FR799" i="93"/>
  <c r="HE795" i="93"/>
  <c r="HY795" i="93"/>
  <c r="GK795" i="93"/>
  <c r="FQ795" i="93"/>
  <c r="GV795" i="93"/>
  <c r="HF795" i="93"/>
  <c r="HP795" i="93"/>
  <c r="HZ795" i="93"/>
  <c r="FG795" i="93"/>
  <c r="GW795" i="93"/>
  <c r="HG795" i="93"/>
  <c r="HQ795" i="93"/>
  <c r="IA795" i="93"/>
  <c r="FI795" i="93"/>
  <c r="GM795" i="93"/>
  <c r="GC795" i="93"/>
  <c r="FS795" i="93"/>
  <c r="GU795" i="93"/>
  <c r="HO795" i="93"/>
  <c r="GA795" i="93"/>
  <c r="HE791" i="93"/>
  <c r="HO791" i="93"/>
  <c r="GV791" i="93"/>
  <c r="HF791" i="93"/>
  <c r="HP791" i="93"/>
  <c r="HZ791" i="93"/>
  <c r="GK791" i="93"/>
  <c r="FQ791" i="93"/>
  <c r="HY791" i="93"/>
  <c r="GW791" i="93"/>
  <c r="HG791" i="93"/>
  <c r="HQ791" i="93"/>
  <c r="IA791" i="93"/>
  <c r="FI791" i="93"/>
  <c r="GM791" i="93"/>
  <c r="GC791" i="93"/>
  <c r="FS791" i="93"/>
  <c r="GA791" i="93"/>
  <c r="GU791" i="93"/>
  <c r="HE787" i="93"/>
  <c r="HO787" i="93"/>
  <c r="HY787" i="93"/>
  <c r="FG787" i="93"/>
  <c r="GA787" i="93"/>
  <c r="GV787" i="93"/>
  <c r="HF787" i="93"/>
  <c r="HP787" i="93"/>
  <c r="HZ787" i="93"/>
  <c r="GK787" i="93"/>
  <c r="GW787" i="93"/>
  <c r="HG787" i="93"/>
  <c r="HQ787" i="93"/>
  <c r="IA787" i="93"/>
  <c r="FI787" i="93"/>
  <c r="GM787" i="93"/>
  <c r="GC787" i="93"/>
  <c r="FS787" i="93"/>
  <c r="GU787" i="93"/>
  <c r="HE783" i="93"/>
  <c r="GV783" i="93"/>
  <c r="HP783" i="93"/>
  <c r="FG783" i="93"/>
  <c r="GA783" i="93"/>
  <c r="GW783" i="93"/>
  <c r="HG783" i="93"/>
  <c r="HQ783" i="93"/>
  <c r="FI783" i="93"/>
  <c r="GC783" i="93"/>
  <c r="FS783" i="93"/>
  <c r="FQ783" i="93"/>
  <c r="GU783" i="93"/>
  <c r="HY783" i="93"/>
  <c r="HE779" i="93"/>
  <c r="HY779" i="93"/>
  <c r="GK779" i="93"/>
  <c r="FQ779" i="93"/>
  <c r="GV779" i="93"/>
  <c r="HF779" i="93"/>
  <c r="HP779" i="93"/>
  <c r="HZ779" i="93"/>
  <c r="HO779" i="93"/>
  <c r="GA779" i="93"/>
  <c r="GW779" i="93"/>
  <c r="HG779" i="93"/>
  <c r="HQ779" i="93"/>
  <c r="IA779" i="93"/>
  <c r="FI779" i="93"/>
  <c r="GM779" i="93"/>
  <c r="GC779" i="93"/>
  <c r="FS779" i="93"/>
  <c r="GU779" i="93"/>
  <c r="HE775" i="93"/>
  <c r="GV775" i="93"/>
  <c r="HF775" i="93"/>
  <c r="HP775" i="93"/>
  <c r="HZ775" i="93"/>
  <c r="HY775" i="93"/>
  <c r="GK775" i="93"/>
  <c r="FQ775" i="93"/>
  <c r="GW775" i="93"/>
  <c r="HG775" i="93"/>
  <c r="HQ775" i="93"/>
  <c r="IA775" i="93"/>
  <c r="FI775" i="93"/>
  <c r="GM775" i="93"/>
  <c r="GC775" i="93"/>
  <c r="FS775" i="93"/>
  <c r="HO775" i="93"/>
  <c r="FG775" i="93"/>
  <c r="GU775" i="93"/>
  <c r="HE771" i="93"/>
  <c r="HO771" i="93"/>
  <c r="FG771" i="93"/>
  <c r="GA771" i="93"/>
  <c r="GV771" i="93"/>
  <c r="HF771" i="93"/>
  <c r="HP771" i="93"/>
  <c r="HZ771" i="93"/>
  <c r="FQ771" i="93"/>
  <c r="GW771" i="93"/>
  <c r="HG771" i="93"/>
  <c r="HQ771" i="93"/>
  <c r="IA771" i="93"/>
  <c r="FI771" i="93"/>
  <c r="GM771" i="93"/>
  <c r="GC771" i="93"/>
  <c r="FS771" i="93"/>
  <c r="GU771" i="93"/>
  <c r="GK771" i="93"/>
  <c r="GV767" i="93"/>
  <c r="HF767" i="93"/>
  <c r="HP767" i="93"/>
  <c r="HZ767" i="93"/>
  <c r="HY767" i="93"/>
  <c r="GA767" i="93"/>
  <c r="HG767" i="93"/>
  <c r="HQ767" i="93"/>
  <c r="IA767" i="93"/>
  <c r="FI767" i="93"/>
  <c r="GM767" i="93"/>
  <c r="FS767" i="93"/>
  <c r="GU767" i="93"/>
  <c r="HO767" i="93"/>
  <c r="Y767" i="93"/>
  <c r="AC767" i="93"/>
  <c r="AG767" i="93"/>
  <c r="AK767" i="93"/>
  <c r="AN767" i="93"/>
  <c r="AQ767" i="93"/>
  <c r="AU767" i="93"/>
  <c r="AY767" i="93"/>
  <c r="HR48" i="75"/>
  <c r="M92" i="75"/>
  <c r="M109" i="75" s="1"/>
  <c r="K58" i="73" s="1"/>
  <c r="HE48" i="75"/>
  <c r="J90" i="75" s="1"/>
  <c r="FJ48" i="75"/>
  <c r="M96" i="75" s="1"/>
  <c r="GP48" i="75"/>
  <c r="J87" i="75" s="1"/>
  <c r="HH48" i="75"/>
  <c r="M90" i="75" s="1"/>
  <c r="M111" i="75" s="1"/>
  <c r="GU48" i="75"/>
  <c r="J88" i="75" s="1"/>
  <c r="GA48" i="75"/>
  <c r="J100" i="75" s="1"/>
  <c r="FC48" i="75"/>
  <c r="K95" i="75" s="1"/>
  <c r="K104" i="75" s="1"/>
  <c r="IA48" i="75"/>
  <c r="L94" i="75" s="1"/>
  <c r="HY48" i="75"/>
  <c r="J94" i="75" s="1"/>
  <c r="HL48" i="75"/>
  <c r="L91" i="75" s="1"/>
  <c r="L108" i="75" s="1"/>
  <c r="HJ48" i="75"/>
  <c r="J91" i="75" s="1"/>
  <c r="J108" i="75" s="1"/>
  <c r="F1149" i="93" s="1"/>
  <c r="M88" i="75"/>
  <c r="M107" i="75" s="1"/>
  <c r="K88" i="75"/>
  <c r="HQ48" i="75"/>
  <c r="L92" i="75" s="1"/>
  <c r="L109" i="75" s="1"/>
  <c r="HO48" i="75"/>
  <c r="J92" i="75"/>
  <c r="N100" i="75"/>
  <c r="L99" i="75"/>
  <c r="FN48" i="75"/>
  <c r="L101" i="75"/>
  <c r="GF48" i="75"/>
  <c r="J97" i="75" s="1"/>
  <c r="O97" i="75" s="1"/>
  <c r="M94" i="75"/>
  <c r="HW48" i="75"/>
  <c r="M93" i="75" s="1"/>
  <c r="HP48" i="75"/>
  <c r="K92" i="75" s="1"/>
  <c r="K109" i="75" s="1"/>
  <c r="HI48" i="75"/>
  <c r="N90" i="75" s="1"/>
  <c r="HA48" i="75"/>
  <c r="K89" i="75" s="1"/>
  <c r="N88" i="75"/>
  <c r="GT48" i="75"/>
  <c r="N87" i="75"/>
  <c r="GC48" i="75"/>
  <c r="L100" i="75" s="1"/>
  <c r="FV48" i="75"/>
  <c r="J99" i="75"/>
  <c r="M95" i="75"/>
  <c r="FL48" i="75"/>
  <c r="J101" i="75" s="1"/>
  <c r="IC48" i="75"/>
  <c r="N94" i="75"/>
  <c r="HZ48" i="75"/>
  <c r="K94" i="75" s="1"/>
  <c r="HU48" i="75"/>
  <c r="K93" i="75" s="1"/>
  <c r="HS48" i="75"/>
  <c r="N92" i="75"/>
  <c r="N109" i="75" s="1"/>
  <c r="HN48" i="75"/>
  <c r="N91" i="75" s="1"/>
  <c r="N108" i="75" s="1"/>
  <c r="HG48" i="75"/>
  <c r="L90" i="75" s="1"/>
  <c r="K90" i="75"/>
  <c r="GW48" i="75"/>
  <c r="L88" i="75" s="1"/>
  <c r="GR48" i="75"/>
  <c r="L87" i="75" s="1"/>
  <c r="E1011" i="93"/>
  <c r="E1019" i="93" s="1"/>
  <c r="E63" i="74"/>
  <c r="K11" i="75"/>
  <c r="L11" i="75" s="1"/>
  <c r="I768" i="93"/>
  <c r="K768" i="93" s="1"/>
  <c r="L768" i="93" s="1"/>
  <c r="F980" i="93"/>
  <c r="K981" i="93"/>
  <c r="K989" i="93"/>
  <c r="K33" i="74"/>
  <c r="F1012" i="93"/>
  <c r="F1020" i="93" s="1"/>
  <c r="F64" i="74"/>
  <c r="G471" i="93"/>
  <c r="F35" i="78"/>
  <c r="F34" i="78" s="1"/>
  <c r="G981" i="93"/>
  <c r="G989" i="93" s="1"/>
  <c r="G33" i="74"/>
  <c r="E1010" i="93"/>
  <c r="G472" i="93"/>
  <c r="F36" i="78"/>
  <c r="C976" i="93"/>
  <c r="C992" i="93" s="1"/>
  <c r="K12" i="75"/>
  <c r="L12" i="75" s="1"/>
  <c r="I769" i="93"/>
  <c r="K769" i="93" s="1"/>
  <c r="L769" i="93" s="1"/>
  <c r="C139" i="90"/>
  <c r="B5" i="92"/>
  <c r="BW48" i="75"/>
  <c r="L61" i="75" s="1"/>
  <c r="O61" i="75" s="1"/>
  <c r="H67" i="66" s="1"/>
  <c r="BV48" i="75"/>
  <c r="K61" i="75"/>
  <c r="BX48" i="75"/>
  <c r="M61" i="75"/>
  <c r="W48" i="75"/>
  <c r="J56" i="75"/>
  <c r="CZ48" i="75"/>
  <c r="K118" i="75" s="1"/>
  <c r="CP48" i="75"/>
  <c r="K116" i="75" s="1"/>
  <c r="AP48" i="75"/>
  <c r="N59" i="75" s="1"/>
  <c r="CQ48" i="75"/>
  <c r="L116" i="75"/>
  <c r="CD48" i="75"/>
  <c r="N113" i="75" s="1"/>
  <c r="N115" i="75" s="1"/>
  <c r="N117" i="75" s="1"/>
  <c r="BZ48" i="75"/>
  <c r="J113" i="75" s="1"/>
  <c r="AO48" i="75"/>
  <c r="M59" i="75" s="1"/>
  <c r="AN48" i="75"/>
  <c r="L59" i="75" s="1"/>
  <c r="AM48" i="75"/>
  <c r="K59" i="75" s="1"/>
  <c r="AL48" i="75"/>
  <c r="J59" i="75" s="1"/>
  <c r="BY48" i="75"/>
  <c r="N61" i="75" s="1"/>
  <c r="CR48" i="75"/>
  <c r="M116" i="75" s="1"/>
  <c r="CI48" i="75"/>
  <c r="N114" i="75"/>
  <c r="AA48" i="75"/>
  <c r="N56" i="75" s="1"/>
  <c r="EH48" i="75"/>
  <c r="J78" i="75" s="1"/>
  <c r="DF48" i="75"/>
  <c r="L72" i="75" s="1"/>
  <c r="CS48" i="75"/>
  <c r="N116" i="75" s="1"/>
  <c r="Z48" i="75"/>
  <c r="M56" i="75" s="1"/>
  <c r="E53" i="82"/>
  <c r="D53" i="82"/>
  <c r="D984" i="93"/>
  <c r="F53" i="82"/>
  <c r="GD767" i="93"/>
  <c r="GB767" i="93"/>
  <c r="FK767" i="93"/>
  <c r="HI767" i="93"/>
  <c r="GY767" i="93"/>
  <c r="FT767" i="93"/>
  <c r="FU767" i="93"/>
  <c r="HH767" i="93"/>
  <c r="HR767" i="93"/>
  <c r="GO767" i="93"/>
  <c r="GO48" i="75"/>
  <c r="N98" i="75" s="1"/>
  <c r="X48" i="75"/>
  <c r="K56" i="75" s="1"/>
  <c r="IB767" i="93"/>
  <c r="GX767" i="93"/>
  <c r="IC767" i="93"/>
  <c r="HS767" i="93"/>
  <c r="GN767" i="93"/>
  <c r="FJ767" i="93"/>
  <c r="AY48" i="75"/>
  <c r="M65" i="75" s="1"/>
  <c r="M66" i="75" s="1"/>
  <c r="BA767" i="93"/>
  <c r="AW767" i="93"/>
  <c r="IF48" i="75"/>
  <c r="CF48" i="75"/>
  <c r="K114" i="75" s="1"/>
  <c r="CE48" i="75"/>
  <c r="J114" i="75" s="1"/>
  <c r="AR767" i="93"/>
  <c r="AP767" i="93"/>
  <c r="CH48" i="75"/>
  <c r="M114" i="75" s="1"/>
  <c r="AM767" i="93"/>
  <c r="AF767" i="93"/>
  <c r="AD767" i="93"/>
  <c r="J472" i="93"/>
  <c r="J473" i="93"/>
  <c r="P132" i="78"/>
  <c r="P149" i="78" s="1"/>
  <c r="P151" i="78" s="1"/>
  <c r="P153" i="78" s="1"/>
  <c r="P519" i="93"/>
  <c r="G547" i="93"/>
  <c r="P562" i="93"/>
  <c r="J513" i="93"/>
  <c r="U540" i="93"/>
  <c r="U512" i="93"/>
  <c r="M469" i="93"/>
  <c r="P453" i="93"/>
  <c r="G459" i="93"/>
  <c r="S453" i="93"/>
  <c r="P500" i="93"/>
  <c r="M513" i="93"/>
  <c r="M519" i="93"/>
  <c r="P566" i="93"/>
  <c r="J519" i="93"/>
  <c r="G566" i="93"/>
  <c r="S547" i="93"/>
  <c r="M453" i="93"/>
  <c r="P469" i="93"/>
  <c r="A512" i="93"/>
  <c r="F504" i="93"/>
  <c r="A565" i="93"/>
  <c r="S566" i="93"/>
  <c r="S474" i="93"/>
  <c r="M554" i="93"/>
  <c r="J582" i="93"/>
  <c r="J586" i="93" s="1"/>
  <c r="H982" i="93"/>
  <c r="H990" i="93" s="1"/>
  <c r="H34" i="74"/>
  <c r="G38" i="78"/>
  <c r="G473" i="93"/>
  <c r="F37" i="78"/>
  <c r="I25" i="75"/>
  <c r="K25" i="75" s="1"/>
  <c r="L25" i="75" s="1"/>
  <c r="L279" i="72"/>
  <c r="L1833" i="93" s="1"/>
  <c r="L362" i="72"/>
  <c r="O1916" i="93"/>
  <c r="L1916" i="93" s="1"/>
  <c r="E39" i="72"/>
  <c r="E1593" i="93" s="1"/>
  <c r="F12" i="85"/>
  <c r="C28" i="90"/>
  <c r="G5" i="92" s="1"/>
  <c r="A2" i="90"/>
  <c r="A2" i="88"/>
  <c r="H1" i="91"/>
  <c r="A1" i="89"/>
  <c r="E15" i="89"/>
  <c r="A2" i="84"/>
  <c r="E171" i="90"/>
  <c r="E170" i="90"/>
  <c r="U565" i="93"/>
  <c r="CC48" i="75"/>
  <c r="M113" i="75" s="1"/>
  <c r="M115" i="75" s="1"/>
  <c r="F549" i="93"/>
  <c r="F551" i="93"/>
  <c r="CB48" i="75"/>
  <c r="L113" i="75" s="1"/>
  <c r="L115" i="75"/>
  <c r="L803" i="93"/>
  <c r="CG48" i="75"/>
  <c r="L114" i="75" s="1"/>
  <c r="L787" i="93"/>
  <c r="JM799" i="93"/>
  <c r="A787" i="93"/>
  <c r="J25" i="74"/>
  <c r="J33" i="74" s="1"/>
  <c r="GK48" i="75"/>
  <c r="J98" i="75" s="1"/>
  <c r="JC800" i="93"/>
  <c r="CT803" i="93"/>
  <c r="ED803" i="93"/>
  <c r="F55" i="74"/>
  <c r="D55" i="74"/>
  <c r="D63" i="74" s="1"/>
  <c r="E25" i="74"/>
  <c r="JH799" i="93"/>
  <c r="JI804" i="93"/>
  <c r="JI799" i="93"/>
  <c r="F25" i="74"/>
  <c r="FS48" i="75"/>
  <c r="L102" i="75" s="1"/>
  <c r="JE48" i="75"/>
  <c r="HR802" i="93"/>
  <c r="FJ802" i="93"/>
  <c r="FH802" i="93"/>
  <c r="FT802" i="93"/>
  <c r="HI802" i="93"/>
  <c r="IC802" i="93"/>
  <c r="GO802" i="93"/>
  <c r="FU802" i="93"/>
  <c r="HQ802" i="93"/>
  <c r="FI802" i="93"/>
  <c r="GX802" i="93"/>
  <c r="GW802" i="93"/>
  <c r="GD802" i="93"/>
  <c r="FR802" i="93"/>
  <c r="GN802" i="93"/>
  <c r="GL802" i="93"/>
  <c r="IA802" i="93"/>
  <c r="GM802" i="93"/>
  <c r="FT800" i="93"/>
  <c r="GC800" i="93"/>
  <c r="IB800" i="93"/>
  <c r="IA800" i="93"/>
  <c r="GC797" i="93"/>
  <c r="GW797" i="93"/>
  <c r="HQ797" i="93"/>
  <c r="GY797" i="93"/>
  <c r="HS797" i="93"/>
  <c r="FK797" i="93"/>
  <c r="GE797" i="93"/>
  <c r="GV797" i="93"/>
  <c r="HP797" i="93"/>
  <c r="FR797" i="93"/>
  <c r="GK794" i="93"/>
  <c r="GW794" i="93"/>
  <c r="HQ794" i="93"/>
  <c r="FI794" i="93"/>
  <c r="HH794" i="93"/>
  <c r="GN794" i="93"/>
  <c r="HZ794" i="93"/>
  <c r="GB794" i="93"/>
  <c r="HI794" i="93"/>
  <c r="IC794" i="93"/>
  <c r="GO794" i="93"/>
  <c r="FU794" i="93"/>
  <c r="GL794" i="93"/>
  <c r="HG794" i="93"/>
  <c r="GM794" i="93"/>
  <c r="FS794" i="93"/>
  <c r="FJ794" i="93"/>
  <c r="FT794" i="93"/>
  <c r="IB794" i="93"/>
  <c r="GD794" i="93"/>
  <c r="GY794" i="93"/>
  <c r="HS794" i="93"/>
  <c r="FK794" i="93"/>
  <c r="GE794" i="93"/>
  <c r="FJ792" i="93"/>
  <c r="IA792" i="93"/>
  <c r="HR792" i="93"/>
  <c r="GX792" i="93"/>
  <c r="GD792" i="93"/>
  <c r="GW792" i="93"/>
  <c r="IA789" i="93"/>
  <c r="GM789" i="93"/>
  <c r="FS789" i="93"/>
  <c r="GY789" i="93"/>
  <c r="HS789" i="93"/>
  <c r="FK789" i="93"/>
  <c r="GE789" i="93"/>
  <c r="FQ789" i="93"/>
  <c r="GW789" i="93"/>
  <c r="HQ789" i="93"/>
  <c r="GC789" i="93"/>
  <c r="HI789" i="93"/>
  <c r="IC789" i="93"/>
  <c r="GO789" i="93"/>
  <c r="FU789" i="93"/>
  <c r="HR786" i="93"/>
  <c r="FT786" i="93"/>
  <c r="GM786" i="93"/>
  <c r="GY786" i="93"/>
  <c r="HS786" i="93"/>
  <c r="FK786" i="93"/>
  <c r="GE786" i="93"/>
  <c r="HG786" i="93"/>
  <c r="FS786" i="93"/>
  <c r="GX786" i="93"/>
  <c r="GD786" i="93"/>
  <c r="FH786" i="93"/>
  <c r="FR786" i="93"/>
  <c r="GB786" i="93"/>
  <c r="FJ786" i="93"/>
  <c r="GM784" i="93"/>
  <c r="HZ784" i="93"/>
  <c r="IB784" i="93"/>
  <c r="GN784" i="93"/>
  <c r="FT784" i="93"/>
  <c r="IA781" i="93"/>
  <c r="FS781" i="93"/>
  <c r="GV781" i="93"/>
  <c r="HI781" i="93"/>
  <c r="IC781" i="93"/>
  <c r="GO781" i="93"/>
  <c r="FU781" i="93"/>
  <c r="HP781" i="93"/>
  <c r="GW781" i="93"/>
  <c r="HQ781" i="93"/>
  <c r="FR781" i="93"/>
  <c r="FI781" i="93"/>
  <c r="GM781" i="93"/>
  <c r="GN778" i="93"/>
  <c r="FH778" i="93"/>
  <c r="HH778" i="93"/>
  <c r="HQ778" i="93"/>
  <c r="FI778" i="93"/>
  <c r="GC778" i="93"/>
  <c r="FJ778" i="93"/>
  <c r="FT778" i="93"/>
  <c r="GY778" i="93"/>
  <c r="HS778" i="93"/>
  <c r="FK778" i="93"/>
  <c r="GE778" i="93"/>
  <c r="GD778" i="93"/>
  <c r="HZ778" i="93"/>
  <c r="GL778" i="93"/>
  <c r="HG778" i="93"/>
  <c r="IA778" i="93"/>
  <c r="FS778" i="93"/>
  <c r="IB778" i="93"/>
  <c r="HI778" i="93"/>
  <c r="IC778" i="93"/>
  <c r="GO778" i="93"/>
  <c r="FU778" i="93"/>
  <c r="HQ776" i="93"/>
  <c r="FJ776" i="93"/>
  <c r="HR776" i="93"/>
  <c r="GM776" i="93"/>
  <c r="GX776" i="93"/>
  <c r="HQ773" i="93"/>
  <c r="GW773" i="93"/>
  <c r="FI773" i="93"/>
  <c r="HI773" i="93"/>
  <c r="IC773" i="93"/>
  <c r="GO773" i="93"/>
  <c r="FU773" i="93"/>
  <c r="GM773" i="93"/>
  <c r="HG773" i="93"/>
  <c r="GY773" i="93"/>
  <c r="HS773" i="93"/>
  <c r="FK773" i="93"/>
  <c r="GE773" i="93"/>
  <c r="GW770" i="93"/>
  <c r="FI770" i="93"/>
  <c r="GC770" i="93"/>
  <c r="HR770" i="93"/>
  <c r="FG770" i="93"/>
  <c r="GD770" i="93"/>
  <c r="HI770" i="93"/>
  <c r="IC770" i="93"/>
  <c r="GO770" i="93"/>
  <c r="FU770" i="93"/>
  <c r="GB770" i="93"/>
  <c r="GX770" i="93"/>
  <c r="GL770" i="93"/>
  <c r="FS770" i="93"/>
  <c r="GN770" i="93"/>
  <c r="FH770" i="93"/>
  <c r="FJ770" i="93"/>
  <c r="FT770" i="93"/>
  <c r="AK768" i="93"/>
  <c r="AU768" i="93"/>
  <c r="FS768" i="93"/>
  <c r="IB768" i="93"/>
  <c r="GN768" i="93"/>
  <c r="AZ768" i="93"/>
  <c r="FT768" i="93"/>
  <c r="AA768" i="93"/>
  <c r="HQ768" i="93"/>
  <c r="AF768" i="93"/>
  <c r="JJ799" i="93"/>
  <c r="JJ48" i="75"/>
  <c r="O185" i="75"/>
  <c r="J26" i="74"/>
  <c r="J982" i="93" s="1"/>
  <c r="J990" i="93" s="1"/>
  <c r="I25" i="74"/>
  <c r="H25" i="74"/>
  <c r="JO48" i="75"/>
  <c r="FU797" i="93"/>
  <c r="GN800" i="93"/>
  <c r="GC786" i="93"/>
  <c r="GW784" i="93"/>
  <c r="AX767" i="93"/>
  <c r="AO767" i="93"/>
  <c r="FJ798" i="93"/>
  <c r="HR798" i="93"/>
  <c r="HR782" i="93"/>
  <c r="HH803" i="93"/>
  <c r="HH787" i="93"/>
  <c r="HH771" i="93"/>
  <c r="FS774" i="93"/>
  <c r="IA774" i="93"/>
  <c r="GB803" i="93"/>
  <c r="HF782" i="93"/>
  <c r="GK782" i="93"/>
  <c r="HY771" i="93"/>
  <c r="AV767" i="93"/>
  <c r="AB767" i="93"/>
  <c r="GE790" i="93"/>
  <c r="GE779" i="93"/>
  <c r="GO795" i="93"/>
  <c r="GO774" i="93"/>
  <c r="FK790" i="93"/>
  <c r="FK779" i="93"/>
  <c r="IC795" i="93"/>
  <c r="IC774" i="93"/>
  <c r="HS790" i="93"/>
  <c r="HS779" i="93"/>
  <c r="HI795" i="93"/>
  <c r="HI774" i="93"/>
  <c r="GY790" i="93"/>
  <c r="GY779" i="93"/>
  <c r="FT779" i="93"/>
  <c r="GD803" i="93"/>
  <c r="GD790" i="93"/>
  <c r="FJ779" i="93"/>
  <c r="IB803" i="93"/>
  <c r="IB787" i="93"/>
  <c r="IB771" i="93"/>
  <c r="GX790" i="93"/>
  <c r="GX774" i="93"/>
  <c r="GC782" i="93"/>
  <c r="HQ782" i="93"/>
  <c r="GW782" i="93"/>
  <c r="HZ803" i="93"/>
  <c r="GV798" i="93"/>
  <c r="AS767" i="93"/>
  <c r="AL767" i="93"/>
  <c r="AA767" i="93"/>
  <c r="GD787" i="93"/>
  <c r="GD774" i="93"/>
  <c r="GN798" i="93"/>
  <c r="HH798" i="93"/>
  <c r="HH782" i="93"/>
  <c r="GX803" i="93"/>
  <c r="GX787" i="93"/>
  <c r="GX771" i="93"/>
  <c r="GM790" i="93"/>
  <c r="IA790" i="93"/>
  <c r="HG790" i="93"/>
  <c r="FR795" i="93"/>
  <c r="FR779" i="93"/>
  <c r="GB795" i="93"/>
  <c r="GB771" i="93"/>
  <c r="HP790" i="93"/>
  <c r="AJ767" i="93"/>
  <c r="Z767" i="93"/>
  <c r="FU803" i="93"/>
  <c r="FU782" i="93"/>
  <c r="FU771" i="93"/>
  <c r="GE798" i="93"/>
  <c r="GE787" i="93"/>
  <c r="GO803" i="93"/>
  <c r="GO782" i="93"/>
  <c r="GO771" i="93"/>
  <c r="FK798" i="93"/>
  <c r="FK787" i="93"/>
  <c r="IC803" i="93"/>
  <c r="IC782" i="93"/>
  <c r="IC771" i="93"/>
  <c r="HS798" i="93"/>
  <c r="HS787" i="93"/>
  <c r="HI803" i="93"/>
  <c r="HI782" i="93"/>
  <c r="HI771" i="93"/>
  <c r="GY798" i="93"/>
  <c r="GY787" i="93"/>
  <c r="FT803" i="93"/>
  <c r="FT790" i="93"/>
  <c r="GD771" i="93"/>
  <c r="GN795" i="93"/>
  <c r="GN782" i="93"/>
  <c r="HR790" i="93"/>
  <c r="HR774" i="93"/>
  <c r="HH795" i="93"/>
  <c r="HH779" i="93"/>
  <c r="GW798" i="93"/>
  <c r="GL787" i="93"/>
  <c r="FH803" i="93"/>
  <c r="FH779" i="93"/>
  <c r="GV790" i="93"/>
  <c r="FG779" i="93"/>
  <c r="AT767" i="93"/>
  <c r="AI767" i="93"/>
  <c r="X767" i="93"/>
  <c r="FT787" i="93"/>
  <c r="FT774" i="93"/>
  <c r="GD798" i="93"/>
  <c r="GN779" i="93"/>
  <c r="FJ790" i="93"/>
  <c r="IB798" i="93"/>
  <c r="IB782" i="93"/>
  <c r="HR803" i="93"/>
  <c r="HR771" i="93"/>
  <c r="GC798" i="93"/>
  <c r="FI798" i="93"/>
  <c r="FR774" i="93"/>
  <c r="HP774" i="93"/>
  <c r="GK803" i="93"/>
  <c r="BB767" i="93"/>
  <c r="AH767" i="93"/>
  <c r="FU790" i="93"/>
  <c r="GE795" i="93"/>
  <c r="GE774" i="93"/>
  <c r="GO790" i="93"/>
  <c r="GO779" i="93"/>
  <c r="FK795" i="93"/>
  <c r="FK774" i="93"/>
  <c r="IC790" i="93"/>
  <c r="IC779" i="93"/>
  <c r="HS795" i="93"/>
  <c r="HS774" i="93"/>
  <c r="HI790" i="93"/>
  <c r="GY795" i="93"/>
  <c r="GY774" i="93"/>
  <c r="GD782" i="93"/>
  <c r="FJ787" i="93"/>
  <c r="FJ774" i="93"/>
  <c r="IB779" i="93"/>
  <c r="GX798" i="93"/>
  <c r="GX782" i="93"/>
  <c r="FS803" i="93"/>
  <c r="F984" i="93"/>
  <c r="E984" i="93"/>
  <c r="G984" i="93"/>
  <c r="J38" i="78"/>
  <c r="J132" i="78" s="1"/>
  <c r="J149" i="78" s="1"/>
  <c r="J483" i="93"/>
  <c r="J471" i="93"/>
  <c r="J474" i="93" s="1"/>
  <c r="J981" i="93"/>
  <c r="J989" i="93" s="1"/>
  <c r="D1011" i="93"/>
  <c r="D1019" i="93" s="1"/>
  <c r="J34" i="74"/>
  <c r="B44" i="78"/>
  <c r="K26" i="75"/>
  <c r="L26" i="75"/>
  <c r="G53" i="82"/>
  <c r="G483" i="93"/>
  <c r="G536" i="93"/>
  <c r="H984" i="93"/>
  <c r="H53" i="82"/>
  <c r="I984" i="93"/>
  <c r="I53" i="82"/>
  <c r="J984" i="93"/>
  <c r="J53" i="82"/>
  <c r="K984" i="93"/>
  <c r="K53" i="82"/>
  <c r="B1014" i="93"/>
  <c r="B73" i="82"/>
  <c r="C1014" i="93"/>
  <c r="C73" i="82"/>
  <c r="G558" i="93"/>
  <c r="J558" i="93"/>
  <c r="F71" i="89"/>
  <c r="E166" i="90" s="1"/>
  <c r="K24" i="88"/>
  <c r="J122" i="78"/>
  <c r="S558" i="93"/>
  <c r="D1014" i="93"/>
  <c r="D73" i="82"/>
  <c r="G557" i="93"/>
  <c r="G562" i="93" s="1"/>
  <c r="F75" i="89"/>
  <c r="E183" i="90" s="1"/>
  <c r="J121" i="78"/>
  <c r="G126" i="78"/>
  <c r="S126" i="78"/>
  <c r="S557" i="93"/>
  <c r="S562" i="93" s="1"/>
  <c r="E1014" i="93"/>
  <c r="E73" i="82"/>
  <c r="F1014" i="93"/>
  <c r="G58" i="74"/>
  <c r="F73" i="82"/>
  <c r="G73" i="82"/>
  <c r="G553" i="93"/>
  <c r="J118" i="78"/>
  <c r="G118" i="78"/>
  <c r="F117" i="78" s="1"/>
  <c r="J553" i="93"/>
  <c r="J554" i="93"/>
  <c r="E5" i="86"/>
  <c r="E36" i="86" s="1"/>
  <c r="G535" i="93"/>
  <c r="G105" i="78"/>
  <c r="I58" i="68"/>
  <c r="B41" i="74"/>
  <c r="C41" i="74" s="1"/>
  <c r="D41" i="74" s="1"/>
  <c r="I44" i="68"/>
  <c r="I407" i="93" s="1"/>
  <c r="B32" i="82"/>
  <c r="B35" i="82" s="1"/>
  <c r="B36" i="82" s="1"/>
  <c r="I405" i="93"/>
  <c r="JM783" i="93"/>
  <c r="JK783" i="93"/>
  <c r="JQ783" i="93"/>
  <c r="JC783" i="93"/>
  <c r="JL783" i="93"/>
  <c r="AE783" i="93"/>
  <c r="DG783" i="93"/>
  <c r="JD783" i="93"/>
  <c r="JN783" i="93"/>
  <c r="E805" i="93"/>
  <c r="JF783" i="93"/>
  <c r="JO783" i="93"/>
  <c r="L783" i="93"/>
  <c r="F805" i="93"/>
  <c r="JG783" i="93"/>
  <c r="JP783" i="93"/>
  <c r="CH783" i="93"/>
  <c r="HW783" i="93"/>
  <c r="JH783" i="93"/>
  <c r="EZ783" i="93"/>
  <c r="E16" i="86"/>
  <c r="C36" i="86"/>
  <c r="H36" i="86"/>
  <c r="K1152" i="93"/>
  <c r="M1152" i="93" s="1"/>
  <c r="D982" i="93"/>
  <c r="D990" i="93" s="1"/>
  <c r="F84" i="92"/>
  <c r="J110" i="75"/>
  <c r="F1156" i="93" s="1"/>
  <c r="H1156" i="93" s="1"/>
  <c r="G59" i="84"/>
  <c r="I1734" i="93"/>
  <c r="J1734" i="93"/>
  <c r="I59" i="84"/>
  <c r="M730" i="93"/>
  <c r="M746" i="93"/>
  <c r="I730" i="93"/>
  <c r="K59" i="84"/>
  <c r="K62" i="84" s="1"/>
  <c r="K730" i="93"/>
  <c r="L797" i="93"/>
  <c r="L804" i="93"/>
  <c r="IR795" i="93"/>
  <c r="JH797" i="93"/>
  <c r="EI799" i="93"/>
  <c r="CU800" i="93"/>
  <c r="DZ800" i="93"/>
  <c r="JI800" i="93"/>
  <c r="BJ801" i="93"/>
  <c r="CY801" i="93"/>
  <c r="BW803" i="93"/>
  <c r="DA803" i="93"/>
  <c r="Z801" i="93"/>
  <c r="BR801" i="93"/>
  <c r="JE804" i="93"/>
  <c r="JJ804" i="93"/>
  <c r="IL793" i="93"/>
  <c r="JO793" i="93"/>
  <c r="AY795" i="93"/>
  <c r="CW795" i="93"/>
  <c r="DK795" i="93"/>
  <c r="EN795" i="93"/>
  <c r="IZ795" i="93"/>
  <c r="DX797" i="93"/>
  <c r="X799" i="93"/>
  <c r="BV799" i="93"/>
  <c r="CV799" i="93"/>
  <c r="DG799" i="93"/>
  <c r="ER799" i="93"/>
  <c r="CX800" i="93"/>
  <c r="AD801" i="93"/>
  <c r="BS801" i="93"/>
  <c r="BY803" i="93"/>
  <c r="DC803" i="93"/>
  <c r="IH803" i="93"/>
  <c r="JF804" i="93"/>
  <c r="JP804" i="93"/>
  <c r="CW800" i="93"/>
  <c r="Q1859" i="93"/>
  <c r="L1859" i="93"/>
  <c r="O1477" i="93"/>
  <c r="M1718" i="93"/>
  <c r="O1718" i="93" s="1"/>
  <c r="K1732" i="93"/>
  <c r="DE793" i="93"/>
  <c r="DZ793" i="93"/>
  <c r="EV793" i="93"/>
  <c r="IG793" i="93"/>
  <c r="AC795" i="93"/>
  <c r="CK795" i="93"/>
  <c r="DY795" i="93"/>
  <c r="AV796" i="93"/>
  <c r="ET797" i="93"/>
  <c r="AZ799" i="93"/>
  <c r="CE799" i="93"/>
  <c r="EA799" i="93"/>
  <c r="IX799" i="93"/>
  <c r="AX801" i="93"/>
  <c r="BU803" i="93"/>
  <c r="CY803" i="93"/>
  <c r="EH799" i="93"/>
  <c r="BF801" i="93"/>
  <c r="BV803" i="93"/>
  <c r="AE767" i="93"/>
  <c r="GE801" i="93"/>
  <c r="GO775" i="93"/>
  <c r="FK785" i="93"/>
  <c r="HS801" i="93"/>
  <c r="HI775" i="93"/>
  <c r="GY785" i="93"/>
  <c r="GN791" i="93"/>
  <c r="IB791" i="93"/>
  <c r="FR803" i="93"/>
  <c r="FG791" i="93"/>
  <c r="FJ803" i="93"/>
  <c r="FG801" i="93"/>
  <c r="HR787" i="93"/>
  <c r="FR771" i="93"/>
  <c r="C54" i="74"/>
  <c r="B54" i="74"/>
  <c r="GE771" i="93"/>
  <c r="GO791" i="93"/>
  <c r="FK803" i="93"/>
  <c r="FK782" i="93"/>
  <c r="IC799" i="93"/>
  <c r="HS771" i="93"/>
  <c r="HI791" i="93"/>
  <c r="GY803" i="93"/>
  <c r="GY782" i="93"/>
  <c r="GN787" i="93"/>
  <c r="FS801" i="93"/>
  <c r="GL771" i="93"/>
  <c r="FH771" i="93"/>
  <c r="FQ787" i="93"/>
  <c r="HY785" i="93"/>
  <c r="GL803" i="93"/>
  <c r="GB787" i="93"/>
  <c r="HZ782" i="93"/>
  <c r="D25" i="74"/>
  <c r="D33" i="74" s="1"/>
  <c r="FU775" i="93"/>
  <c r="GE791" i="93"/>
  <c r="GE770" i="93"/>
  <c r="GO787" i="93"/>
  <c r="IC798" i="93"/>
  <c r="HS791" i="93"/>
  <c r="GD779" i="93"/>
  <c r="IB775" i="93"/>
  <c r="FS799" i="93"/>
  <c r="IA785" i="93"/>
  <c r="HG785" i="93"/>
  <c r="FR791" i="93"/>
  <c r="HO783" i="93"/>
  <c r="HF798" i="93"/>
  <c r="HI779" i="93"/>
  <c r="Q1766" i="93"/>
  <c r="F54" i="74"/>
  <c r="G26" i="74"/>
  <c r="E24" i="74"/>
  <c r="E980" i="93" s="1"/>
  <c r="D24" i="74"/>
  <c r="FU791" i="93"/>
  <c r="FU774" i="93"/>
  <c r="GE785" i="93"/>
  <c r="GE769" i="93"/>
  <c r="GO786" i="93"/>
  <c r="FK801" i="93"/>
  <c r="FK777" i="93"/>
  <c r="IC775" i="93"/>
  <c r="HS785" i="93"/>
  <c r="HS769" i="93"/>
  <c r="GY801" i="93"/>
  <c r="GY777" i="93"/>
  <c r="FT791" i="93"/>
  <c r="GN783" i="93"/>
  <c r="FJ782" i="93"/>
  <c r="IB774" i="93"/>
  <c r="HH799" i="93"/>
  <c r="GX799" i="93"/>
  <c r="GM774" i="93"/>
  <c r="IA770" i="93"/>
  <c r="FR787" i="93"/>
  <c r="GB775" i="93"/>
  <c r="FH799" i="93"/>
  <c r="HZ799" i="93"/>
  <c r="GA785" i="93"/>
  <c r="GD795" i="93"/>
  <c r="H24" i="74"/>
  <c r="H980" i="93" s="1"/>
  <c r="FU787" i="93"/>
  <c r="FU769" i="93"/>
  <c r="GE783" i="93"/>
  <c r="GO801" i="93"/>
  <c r="GO785" i="93"/>
  <c r="FK799" i="93"/>
  <c r="FK775" i="93"/>
  <c r="IC793" i="93"/>
  <c r="IC769" i="93"/>
  <c r="HS783" i="93"/>
  <c r="HI801" i="93"/>
  <c r="HI785" i="93"/>
  <c r="GY799" i="93"/>
  <c r="GY775" i="93"/>
  <c r="FT783" i="93"/>
  <c r="GD775" i="93"/>
  <c r="GN775" i="93"/>
  <c r="FJ775" i="93"/>
  <c r="HR799" i="93"/>
  <c r="HH791" i="93"/>
  <c r="GX795" i="93"/>
  <c r="FS785" i="93"/>
  <c r="GM769" i="93"/>
  <c r="HG770" i="93"/>
  <c r="GL799" i="93"/>
  <c r="GA775" i="93"/>
  <c r="HE788" i="93"/>
  <c r="I24" i="74"/>
  <c r="B24" i="74"/>
  <c r="B980" i="93" s="1"/>
  <c r="GE803" i="93"/>
  <c r="GE782" i="93"/>
  <c r="GO799" i="93"/>
  <c r="FK771" i="93"/>
  <c r="IC791" i="93"/>
  <c r="HS803" i="93"/>
  <c r="HS782" i="93"/>
  <c r="HI799" i="93"/>
  <c r="GY771" i="93"/>
  <c r="FJ771" i="93"/>
  <c r="GX791" i="93"/>
  <c r="FR775" i="93"/>
  <c r="FT771" i="93"/>
  <c r="GE802" i="93"/>
  <c r="GE781" i="93"/>
  <c r="GO798" i="93"/>
  <c r="GO777" i="93"/>
  <c r="FK791" i="93"/>
  <c r="FK770" i="93"/>
  <c r="IC787" i="93"/>
  <c r="HS802" i="93"/>
  <c r="HI777" i="93"/>
  <c r="GY791" i="93"/>
  <c r="GN799" i="93"/>
  <c r="HR791" i="93"/>
  <c r="GC793" i="93"/>
  <c r="GB802" i="93"/>
  <c r="H49" i="73"/>
  <c r="F1158" i="93"/>
  <c r="H1158" i="93" s="1"/>
  <c r="C1010" i="93"/>
  <c r="N1152" i="93"/>
  <c r="F62" i="73"/>
  <c r="H62" i="73" s="1"/>
  <c r="I980" i="93"/>
  <c r="K1145" i="93"/>
  <c r="M1145" i="93" s="1"/>
  <c r="K51" i="73"/>
  <c r="C997" i="93"/>
  <c r="B997" i="93"/>
  <c r="D980" i="93"/>
  <c r="N1145" i="93"/>
  <c r="F981" i="93"/>
  <c r="I34" i="74"/>
  <c r="B1010" i="93"/>
  <c r="J111" i="75"/>
  <c r="K62" i="73" s="1"/>
  <c r="F116" i="78"/>
  <c r="D981" i="93"/>
  <c r="D989" i="93" s="1"/>
  <c r="K107" i="75"/>
  <c r="M84" i="75"/>
  <c r="D16" i="86"/>
  <c r="I16" i="86"/>
  <c r="I782" i="93"/>
  <c r="K782" i="93" s="1"/>
  <c r="L782" i="93" s="1"/>
  <c r="DD48" i="75"/>
  <c r="J72" i="75" s="1"/>
  <c r="EP48" i="75"/>
  <c r="M79" i="75" s="1"/>
  <c r="M80" i="75" s="1"/>
  <c r="R12" i="75"/>
  <c r="R769" i="93" s="1"/>
  <c r="R26" i="75"/>
  <c r="R783" i="93" s="1"/>
  <c r="EW48" i="75"/>
  <c r="E37" i="78"/>
  <c r="D38" i="78"/>
  <c r="B64" i="74"/>
  <c r="DV48" i="75"/>
  <c r="M75" i="75" s="1"/>
  <c r="BA48" i="75"/>
  <c r="J64" i="75" s="1"/>
  <c r="J66" i="75" s="1"/>
  <c r="ES48" i="75"/>
  <c r="DB48" i="75"/>
  <c r="M118" i="75" s="1"/>
  <c r="G500" i="93"/>
  <c r="J730" i="93"/>
  <c r="O1968" i="93"/>
  <c r="P55" i="73"/>
  <c r="E41" i="72"/>
  <c r="E1595" i="93" s="1"/>
  <c r="A82" i="75"/>
  <c r="EX48" i="75"/>
  <c r="DK48" i="75"/>
  <c r="L73" i="75" s="1"/>
  <c r="O307" i="72"/>
  <c r="O1861" i="93"/>
  <c r="O303" i="72"/>
  <c r="O294" i="72" s="1"/>
  <c r="P303" i="72"/>
  <c r="DY48" i="75"/>
  <c r="K76" i="75" s="1"/>
  <c r="IP48" i="75"/>
  <c r="A499" i="93"/>
  <c r="U499" i="93"/>
  <c r="P513" i="93"/>
  <c r="I746" i="93"/>
  <c r="E56" i="86"/>
  <c r="JN792" i="93"/>
  <c r="JF792" i="93"/>
  <c r="JM792" i="93"/>
  <c r="JE792" i="93"/>
  <c r="JK792" i="93"/>
  <c r="JC792" i="93"/>
  <c r="JJ792" i="93"/>
  <c r="JP792" i="93"/>
  <c r="JH792" i="93"/>
  <c r="P443" i="72"/>
  <c r="JD792" i="93"/>
  <c r="EQ799" i="93"/>
  <c r="DW799" i="93"/>
  <c r="IY799" i="93"/>
  <c r="DN799" i="93"/>
  <c r="DF799" i="93"/>
  <c r="IQ799" i="93"/>
  <c r="IN799" i="93"/>
  <c r="I58" i="84"/>
  <c r="F473" i="93"/>
  <c r="JG792" i="93"/>
  <c r="JI792" i="93"/>
  <c r="CA801" i="93"/>
  <c r="AU801" i="93"/>
  <c r="CP801" i="93"/>
  <c r="AL801" i="93"/>
  <c r="DX801" i="93"/>
  <c r="CL801" i="93"/>
  <c r="EC801" i="93"/>
  <c r="CD801" i="93"/>
  <c r="IW793" i="93"/>
  <c r="IS793" i="93"/>
  <c r="EK793" i="93"/>
  <c r="DL793" i="93"/>
  <c r="IR793" i="93"/>
  <c r="EG793" i="93"/>
  <c r="DJ793" i="93"/>
  <c r="EB793" i="93"/>
  <c r="DV793" i="93"/>
  <c r="JC793" i="93"/>
  <c r="ER793" i="93"/>
  <c r="DU793" i="93"/>
  <c r="JB793" i="93"/>
  <c r="EP793" i="93"/>
  <c r="DQ793" i="93"/>
  <c r="IX793" i="93"/>
  <c r="EL793" i="93"/>
  <c r="DP793" i="93"/>
  <c r="JL792" i="93"/>
  <c r="DC792" i="93"/>
  <c r="CT792" i="93"/>
  <c r="F376" i="73"/>
  <c r="F1470" i="93"/>
  <c r="P934" i="93"/>
  <c r="T1731" i="93"/>
  <c r="JO792" i="93"/>
  <c r="JL799" i="93"/>
  <c r="HS799" i="93"/>
  <c r="GD791" i="93"/>
  <c r="IB790" i="93"/>
  <c r="FI786" i="93"/>
  <c r="GL767" i="93"/>
  <c r="FQ767" i="93"/>
  <c r="IB799" i="93"/>
  <c r="IC797" i="93"/>
  <c r="AH803" i="93"/>
  <c r="W767" i="93"/>
  <c r="FU795" i="93"/>
  <c r="FK783" i="93"/>
  <c r="HS793" i="93"/>
  <c r="GY793" i="93"/>
  <c r="GD783" i="93"/>
  <c r="IB783" i="93"/>
  <c r="HH774" i="93"/>
  <c r="FR793" i="93"/>
  <c r="FH783" i="93"/>
  <c r="GK783" i="93"/>
  <c r="FU801" i="93"/>
  <c r="GX783" i="93"/>
  <c r="T1767" i="93"/>
  <c r="B55" i="74"/>
  <c r="GN790" i="93"/>
  <c r="GB799" i="93"/>
  <c r="IB795" i="93"/>
  <c r="GL791" i="93"/>
  <c r="FU785" i="93"/>
  <c r="C55" i="74"/>
  <c r="C26" i="74"/>
  <c r="B26" i="74"/>
  <c r="FU786" i="93"/>
  <c r="GO797" i="93"/>
  <c r="FK769" i="93"/>
  <c r="HS775" i="93"/>
  <c r="GY781" i="93"/>
  <c r="GN786" i="93"/>
  <c r="HR783" i="93"/>
  <c r="GX775" i="93"/>
  <c r="FH767" i="93"/>
  <c r="GW777" i="93"/>
  <c r="HR775" i="93"/>
  <c r="FU783" i="93"/>
  <c r="GO793" i="93"/>
  <c r="IC801" i="93"/>
  <c r="HI797" i="93"/>
  <c r="GY769" i="93"/>
  <c r="GN774" i="93"/>
  <c r="HR779" i="93"/>
  <c r="HQ786" i="93"/>
  <c r="GB783" i="93"/>
  <c r="HP802" i="93"/>
  <c r="GL779" i="93"/>
  <c r="GO783" i="93"/>
  <c r="IC786" i="93"/>
  <c r="FT799" i="93"/>
  <c r="GL795" i="93"/>
  <c r="HF790" i="93"/>
  <c r="IA769" i="93"/>
  <c r="HI783" i="93"/>
  <c r="FT795" i="93"/>
  <c r="HH790" i="93"/>
  <c r="GM797" i="93"/>
  <c r="O1857" i="93"/>
  <c r="K49" i="73"/>
  <c r="M49" i="73" s="1"/>
  <c r="K1156" i="93"/>
  <c r="F989" i="93"/>
  <c r="B1011" i="93"/>
  <c r="B1019" i="93" s="1"/>
  <c r="B63" i="74"/>
  <c r="C982" i="93"/>
  <c r="C990" i="93" s="1"/>
  <c r="C34" i="74"/>
  <c r="B982" i="93"/>
  <c r="B34" i="74"/>
  <c r="N1156" i="93"/>
  <c r="N1161" i="93" s="1"/>
  <c r="B990" i="93"/>
  <c r="K1150" i="93" l="1"/>
  <c r="K56" i="73"/>
  <c r="N58" i="73"/>
  <c r="M58" i="73"/>
  <c r="F1153" i="93"/>
  <c r="F59" i="73"/>
  <c r="M110" i="75"/>
  <c r="O93" i="75"/>
  <c r="F42" i="73"/>
  <c r="F1136" i="93"/>
  <c r="K57" i="73"/>
  <c r="K1151" i="93"/>
  <c r="M1151" i="93" s="1"/>
  <c r="N62" i="73"/>
  <c r="M62" i="73"/>
  <c r="E41" i="74"/>
  <c r="E997" i="93" s="1"/>
  <c r="D997" i="93"/>
  <c r="S568" i="93"/>
  <c r="K65" i="73"/>
  <c r="K1159" i="93"/>
  <c r="L80" i="75"/>
  <c r="H1149" i="93"/>
  <c r="J106" i="75"/>
  <c r="J86" i="75"/>
  <c r="F1137" i="93"/>
  <c r="F43" i="73"/>
  <c r="K37" i="84"/>
  <c r="K35" i="84"/>
  <c r="L66" i="75"/>
  <c r="K66" i="75"/>
  <c r="N49" i="73"/>
  <c r="M117" i="75"/>
  <c r="M119" i="75" s="1"/>
  <c r="R17" i="75"/>
  <c r="R774" i="93" s="1"/>
  <c r="R18" i="75"/>
  <c r="R775" i="93" s="1"/>
  <c r="IG48" i="75"/>
  <c r="G55" i="84"/>
  <c r="E55" i="84"/>
  <c r="EW794" i="93"/>
  <c r="FO794" i="93"/>
  <c r="GF794" i="93"/>
  <c r="HN794" i="93"/>
  <c r="HB794" i="93"/>
  <c r="FM794" i="93"/>
  <c r="FC794" i="93"/>
  <c r="HX794" i="93"/>
  <c r="FX794" i="93"/>
  <c r="GP794" i="93"/>
  <c r="FF794" i="93"/>
  <c r="GS794" i="93"/>
  <c r="HW794" i="93"/>
  <c r="EY794" i="93"/>
  <c r="HT794" i="93"/>
  <c r="FP794" i="93"/>
  <c r="HU794" i="93"/>
  <c r="GH794" i="93"/>
  <c r="HK794" i="93"/>
  <c r="HL794" i="93"/>
  <c r="FL794" i="93"/>
  <c r="HM794" i="93"/>
  <c r="FZ794" i="93"/>
  <c r="HA794" i="93"/>
  <c r="GQ794" i="93"/>
  <c r="GZ794" i="93"/>
  <c r="EZ794" i="93"/>
  <c r="FY794" i="93"/>
  <c r="GT794" i="93"/>
  <c r="GI794" i="93"/>
  <c r="GR794" i="93"/>
  <c r="FA794" i="93"/>
  <c r="FN794" i="93"/>
  <c r="FG794" i="93"/>
  <c r="GG794" i="93"/>
  <c r="HV794" i="93"/>
  <c r="HJ794" i="93"/>
  <c r="FB794" i="93"/>
  <c r="EX794" i="93"/>
  <c r="FQ794" i="93"/>
  <c r="HD794" i="93"/>
  <c r="GV794" i="93"/>
  <c r="HC794" i="93"/>
  <c r="FD794" i="93"/>
  <c r="FW794" i="93"/>
  <c r="FE794" i="93"/>
  <c r="IC783" i="93"/>
  <c r="HH783" i="93"/>
  <c r="HT783" i="93"/>
  <c r="HB783" i="93"/>
  <c r="GJ783" i="93"/>
  <c r="FW783" i="93"/>
  <c r="FE783" i="93"/>
  <c r="HK783" i="93"/>
  <c r="GR783" i="93"/>
  <c r="GR805" i="93" s="1"/>
  <c r="L844" i="93" s="1"/>
  <c r="FY783" i="93"/>
  <c r="FF783" i="93"/>
  <c r="HJ783" i="93"/>
  <c r="GQ783" i="93"/>
  <c r="FX783" i="93"/>
  <c r="FD783" i="93"/>
  <c r="HD783" i="93"/>
  <c r="GP783" i="93"/>
  <c r="FV783" i="93"/>
  <c r="FC783" i="93"/>
  <c r="HX783" i="93"/>
  <c r="HC783" i="93"/>
  <c r="GI783" i="93"/>
  <c r="FP783" i="93"/>
  <c r="FB783" i="93"/>
  <c r="HN783" i="93"/>
  <c r="GZ783" i="93"/>
  <c r="GG783" i="93"/>
  <c r="FN783" i="93"/>
  <c r="HM783" i="93"/>
  <c r="GT783" i="93"/>
  <c r="GF783" i="93"/>
  <c r="FM783" i="93"/>
  <c r="JE783" i="93"/>
  <c r="HU783" i="93"/>
  <c r="HF783" i="93"/>
  <c r="IA783" i="93"/>
  <c r="IA805" i="93" s="1"/>
  <c r="L851" i="93" s="1"/>
  <c r="FR783" i="93"/>
  <c r="HL783" i="93"/>
  <c r="HA783" i="93"/>
  <c r="HZ783" i="93"/>
  <c r="GM783" i="93"/>
  <c r="GM805" i="93" s="1"/>
  <c r="L855" i="93" s="1"/>
  <c r="GS783" i="93"/>
  <c r="FZ783" i="93"/>
  <c r="FO783" i="93"/>
  <c r="JM768" i="93"/>
  <c r="JE768" i="93"/>
  <c r="HU768" i="93"/>
  <c r="HC768" i="93"/>
  <c r="GP768" i="93"/>
  <c r="FX768" i="93"/>
  <c r="FF768" i="93"/>
  <c r="EX768" i="93"/>
  <c r="JL768" i="93"/>
  <c r="JD768" i="93"/>
  <c r="HT768" i="93"/>
  <c r="HB768" i="93"/>
  <c r="GJ768" i="93"/>
  <c r="FW768" i="93"/>
  <c r="FE768" i="93"/>
  <c r="EW768" i="93"/>
  <c r="JK768" i="93"/>
  <c r="JC768" i="93"/>
  <c r="HN768" i="93"/>
  <c r="HA768" i="93"/>
  <c r="GI768" i="93"/>
  <c r="FV768" i="93"/>
  <c r="FD768" i="93"/>
  <c r="JJ768" i="93"/>
  <c r="HM768" i="93"/>
  <c r="GZ768" i="93"/>
  <c r="GH768" i="93"/>
  <c r="FP768" i="93"/>
  <c r="FC768" i="93"/>
  <c r="FC805" i="93" s="1"/>
  <c r="K852" i="93" s="1"/>
  <c r="JP768" i="93"/>
  <c r="JH768" i="93"/>
  <c r="HX768" i="93"/>
  <c r="HK768" i="93"/>
  <c r="GS768" i="93"/>
  <c r="GF768" i="93"/>
  <c r="FN768" i="93"/>
  <c r="FA768" i="93"/>
  <c r="FA805" i="93" s="1"/>
  <c r="JO768" i="93"/>
  <c r="JG768" i="93"/>
  <c r="HW768" i="93"/>
  <c r="HJ768" i="93"/>
  <c r="GR768" i="93"/>
  <c r="FZ768" i="93"/>
  <c r="FM768" i="93"/>
  <c r="EZ768" i="93"/>
  <c r="HV768" i="93"/>
  <c r="FL768" i="93"/>
  <c r="HE768" i="93"/>
  <c r="HP768" i="93"/>
  <c r="HS768" i="93"/>
  <c r="HR768" i="93"/>
  <c r="HL768" i="93"/>
  <c r="FB768" i="93"/>
  <c r="JQ768" i="93"/>
  <c r="HD768" i="93"/>
  <c r="EY768" i="93"/>
  <c r="FG768" i="93"/>
  <c r="GL768" i="93"/>
  <c r="FK768" i="93"/>
  <c r="GC768" i="93"/>
  <c r="JN768" i="93"/>
  <c r="GT768" i="93"/>
  <c r="GK768" i="93"/>
  <c r="GB768" i="93"/>
  <c r="GO768" i="93"/>
  <c r="GW768" i="93"/>
  <c r="FJ768" i="93"/>
  <c r="JF768" i="93"/>
  <c r="GG768" i="93"/>
  <c r="FY768" i="93"/>
  <c r="GV768" i="93"/>
  <c r="GY768" i="93"/>
  <c r="G17" i="78"/>
  <c r="L31" i="68" s="1"/>
  <c r="L394" i="93" s="1"/>
  <c r="G448" i="93"/>
  <c r="N104" i="75"/>
  <c r="B28" i="74"/>
  <c r="G961" i="93"/>
  <c r="A539" i="93"/>
  <c r="U539" i="93"/>
  <c r="R11" i="75"/>
  <c r="R768" i="93" s="1"/>
  <c r="D36" i="86"/>
  <c r="I36" i="86"/>
  <c r="G541" i="93"/>
  <c r="O1611" i="93"/>
  <c r="E471" i="93"/>
  <c r="O59" i="75"/>
  <c r="O99" i="75"/>
  <c r="V132" i="78"/>
  <c r="I19" i="75"/>
  <c r="I18" i="75"/>
  <c r="IQ48" i="75"/>
  <c r="O84" i="72"/>
  <c r="O1638" i="93" s="1"/>
  <c r="O67" i="72"/>
  <c r="O80" i="72"/>
  <c r="O1634" i="93" s="1"/>
  <c r="P80" i="72"/>
  <c r="CY48" i="75"/>
  <c r="J118" i="75" s="1"/>
  <c r="E60" i="84"/>
  <c r="C56" i="86"/>
  <c r="B38" i="74"/>
  <c r="C11" i="86" s="1"/>
  <c r="F36" i="86"/>
  <c r="E30" i="72"/>
  <c r="E1584" i="93" s="1"/>
  <c r="K26" i="84"/>
  <c r="N107" i="75"/>
  <c r="L111" i="75"/>
  <c r="N106" i="75"/>
  <c r="C62" i="84"/>
  <c r="L393" i="93"/>
  <c r="AG48" i="75"/>
  <c r="AT48" i="75"/>
  <c r="ID48" i="75"/>
  <c r="D56" i="86"/>
  <c r="H56" i="86"/>
  <c r="A546" i="93"/>
  <c r="U546" i="93"/>
  <c r="FL783" i="93"/>
  <c r="JK796" i="93"/>
  <c r="JC796" i="93"/>
  <c r="HL796" i="93"/>
  <c r="GT796" i="93"/>
  <c r="GG796" i="93"/>
  <c r="FO796" i="93"/>
  <c r="FB796" i="93"/>
  <c r="DA796" i="93"/>
  <c r="BX796" i="93"/>
  <c r="JP796" i="93"/>
  <c r="JP805" i="93" s="1"/>
  <c r="JH796" i="93"/>
  <c r="HV796" i="93"/>
  <c r="HD796" i="93"/>
  <c r="GQ796" i="93"/>
  <c r="FY796" i="93"/>
  <c r="FL796" i="93"/>
  <c r="EY796" i="93"/>
  <c r="CX796" i="93"/>
  <c r="BU796" i="93"/>
  <c r="FS796" i="93"/>
  <c r="JO796" i="93"/>
  <c r="JE796" i="93"/>
  <c r="HK796" i="93"/>
  <c r="GP796" i="93"/>
  <c r="FV796" i="93"/>
  <c r="FA796" i="93"/>
  <c r="CW796" i="93"/>
  <c r="JM796" i="93"/>
  <c r="HX796" i="93"/>
  <c r="HC796" i="93"/>
  <c r="GI796" i="93"/>
  <c r="FN796" i="93"/>
  <c r="EX796" i="93"/>
  <c r="CT796" i="93"/>
  <c r="JI796" i="93"/>
  <c r="HT796" i="93"/>
  <c r="GZ796" i="93"/>
  <c r="FZ796" i="93"/>
  <c r="FE796" i="93"/>
  <c r="DB796" i="93"/>
  <c r="BV796" i="93"/>
  <c r="HW796" i="93"/>
  <c r="GR796" i="93"/>
  <c r="FF796" i="93"/>
  <c r="CV796" i="93"/>
  <c r="EO796" i="93"/>
  <c r="DI796" i="93"/>
  <c r="BM796" i="93"/>
  <c r="AG796" i="93"/>
  <c r="IF796" i="93"/>
  <c r="DK796" i="93"/>
  <c r="BJ796" i="93"/>
  <c r="IZ796" i="93"/>
  <c r="DR796" i="93"/>
  <c r="AU796" i="93"/>
  <c r="ER796" i="93"/>
  <c r="BN796" i="93"/>
  <c r="IP796" i="93"/>
  <c r="CQ796" i="93"/>
  <c r="AJ796" i="93"/>
  <c r="CP796" i="93"/>
  <c r="JQ796" i="93"/>
  <c r="HU796" i="93"/>
  <c r="GJ796" i="93"/>
  <c r="FD796" i="93"/>
  <c r="BY796" i="93"/>
  <c r="JA796" i="93"/>
  <c r="EK796" i="93"/>
  <c r="DE796" i="93"/>
  <c r="BI796" i="93"/>
  <c r="AC796" i="93"/>
  <c r="EV796" i="93"/>
  <c r="DF796" i="93"/>
  <c r="BD796" i="93"/>
  <c r="IT796" i="93"/>
  <c r="DJ796" i="93"/>
  <c r="AM796" i="93"/>
  <c r="EJ796" i="93"/>
  <c r="BG796" i="93"/>
  <c r="II796" i="93"/>
  <c r="CJ796" i="93"/>
  <c r="AB796" i="93"/>
  <c r="AA796" i="93"/>
  <c r="AH796" i="93"/>
  <c r="JN796" i="93"/>
  <c r="HN796" i="93"/>
  <c r="GH796" i="93"/>
  <c r="FC796" i="93"/>
  <c r="BW796" i="93"/>
  <c r="IW796" i="93"/>
  <c r="EG796" i="93"/>
  <c r="CS796" i="93"/>
  <c r="BE796" i="93"/>
  <c r="Y796" i="93"/>
  <c r="EQ796" i="93"/>
  <c r="CR796" i="93"/>
  <c r="AY796" i="93"/>
  <c r="IM796" i="93"/>
  <c r="CN796" i="93"/>
  <c r="AF796" i="93"/>
  <c r="ED796" i="93"/>
  <c r="AZ796" i="93"/>
  <c r="EP796" i="93"/>
  <c r="CD796" i="93"/>
  <c r="JL796" i="93"/>
  <c r="HM796" i="93"/>
  <c r="GF796" i="93"/>
  <c r="EZ796" i="93"/>
  <c r="IS796" i="93"/>
  <c r="EC796" i="93"/>
  <c r="CO796" i="93"/>
  <c r="BA796" i="93"/>
  <c r="A796" i="93"/>
  <c r="EL796" i="93"/>
  <c r="CM796" i="93"/>
  <c r="AT796" i="93"/>
  <c r="IE796" i="93"/>
  <c r="CF796" i="93"/>
  <c r="Z796" i="93"/>
  <c r="DW796" i="93"/>
  <c r="AR796" i="93"/>
  <c r="EI796" i="93"/>
  <c r="BS796" i="93"/>
  <c r="CA796" i="93"/>
  <c r="CI796" i="93"/>
  <c r="JG796" i="93"/>
  <c r="HB796" i="93"/>
  <c r="FW796" i="93"/>
  <c r="DC796" i="93"/>
  <c r="JF796" i="93"/>
  <c r="HA796" i="93"/>
  <c r="FP796" i="93"/>
  <c r="CZ796" i="93"/>
  <c r="IG796" i="93"/>
  <c r="DQ796" i="93"/>
  <c r="CC796" i="93"/>
  <c r="AO796" i="93"/>
  <c r="IQ796" i="93"/>
  <c r="DV796" i="93"/>
  <c r="BT796" i="93"/>
  <c r="AD796" i="93"/>
  <c r="EE796" i="93"/>
  <c r="BH796" i="93"/>
  <c r="IJ796" i="93"/>
  <c r="CL796" i="93"/>
  <c r="W796" i="93"/>
  <c r="DN796" i="93"/>
  <c r="AX796" i="93"/>
  <c r="IH796" i="93"/>
  <c r="AP796" i="93"/>
  <c r="GS796" i="93"/>
  <c r="ES796" i="93"/>
  <c r="AS796" i="93"/>
  <c r="CH796" i="93"/>
  <c r="DX796" i="93"/>
  <c r="DH796" i="93"/>
  <c r="BL796" i="93"/>
  <c r="DZ796" i="93"/>
  <c r="DL796" i="93"/>
  <c r="GK796" i="93"/>
  <c r="FH796" i="93"/>
  <c r="FI796" i="93"/>
  <c r="GE796" i="93"/>
  <c r="FJ796" i="93"/>
  <c r="GM796" i="93"/>
  <c r="IB796" i="93"/>
  <c r="IB805" i="93" s="1"/>
  <c r="M851" i="93" s="1"/>
  <c r="HO796" i="93"/>
  <c r="FX796" i="93"/>
  <c r="DY796" i="93"/>
  <c r="AK796" i="93"/>
  <c r="CB796" i="93"/>
  <c r="BZ796" i="93"/>
  <c r="CE796" i="93"/>
  <c r="BF796" i="93"/>
  <c r="EN796" i="93"/>
  <c r="FM796" i="93"/>
  <c r="DU796" i="93"/>
  <c r="JB796" i="93"/>
  <c r="BO796" i="93"/>
  <c r="BP796" i="93"/>
  <c r="AL796" i="93"/>
  <c r="AQ796" i="93"/>
  <c r="IN796" i="93"/>
  <c r="FQ796" i="93"/>
  <c r="GB796" i="93"/>
  <c r="GY796" i="93"/>
  <c r="GX796" i="93"/>
  <c r="GN796" i="93"/>
  <c r="HH796" i="93"/>
  <c r="EW796" i="93"/>
  <c r="DM796" i="93"/>
  <c r="IV796" i="93"/>
  <c r="AN796" i="93"/>
  <c r="BB796" i="93"/>
  <c r="AE796" i="93"/>
  <c r="HE796" i="93"/>
  <c r="FR796" i="93"/>
  <c r="HI796" i="93"/>
  <c r="GD796" i="93"/>
  <c r="JJ796" i="93"/>
  <c r="CG796" i="93"/>
  <c r="EF796" i="93"/>
  <c r="X796" i="93"/>
  <c r="IR796" i="93"/>
  <c r="EB796" i="93"/>
  <c r="BK796" i="93"/>
  <c r="JD796" i="93"/>
  <c r="IO796" i="93"/>
  <c r="BQ796" i="93"/>
  <c r="EA796" i="93"/>
  <c r="ET796" i="93"/>
  <c r="ID796" i="93"/>
  <c r="DT796" i="93"/>
  <c r="DD796" i="93"/>
  <c r="HF796" i="93"/>
  <c r="GW796" i="93"/>
  <c r="FK796" i="93"/>
  <c r="FU777" i="93"/>
  <c r="HS777" i="93"/>
  <c r="FI777" i="93"/>
  <c r="HU777" i="93"/>
  <c r="HC777" i="93"/>
  <c r="GP777" i="93"/>
  <c r="FX777" i="93"/>
  <c r="FF777" i="93"/>
  <c r="EX777" i="93"/>
  <c r="JQ777" i="93"/>
  <c r="HT777" i="93"/>
  <c r="HB777" i="93"/>
  <c r="GJ777" i="93"/>
  <c r="FW777" i="93"/>
  <c r="FE777" i="93"/>
  <c r="EW777" i="93"/>
  <c r="HN777" i="93"/>
  <c r="HA777" i="93"/>
  <c r="GI777" i="93"/>
  <c r="FV777" i="93"/>
  <c r="FD777" i="93"/>
  <c r="HM777" i="93"/>
  <c r="GZ777" i="93"/>
  <c r="GH777" i="93"/>
  <c r="FP777" i="93"/>
  <c r="FP805" i="93" s="1"/>
  <c r="N858" i="93" s="1"/>
  <c r="FC777" i="93"/>
  <c r="JD777" i="93"/>
  <c r="JE777" i="93"/>
  <c r="JN777" i="93"/>
  <c r="HX777" i="93"/>
  <c r="HK777" i="93"/>
  <c r="GS777" i="93"/>
  <c r="GF777" i="93"/>
  <c r="FN777" i="93"/>
  <c r="FA777" i="93"/>
  <c r="JP777" i="93"/>
  <c r="JG777" i="93"/>
  <c r="JM777" i="93"/>
  <c r="JJ777" i="93"/>
  <c r="HW777" i="93"/>
  <c r="HJ777" i="93"/>
  <c r="GR777" i="93"/>
  <c r="FZ777" i="93"/>
  <c r="FM777" i="93"/>
  <c r="EZ777" i="93"/>
  <c r="JK777" i="93"/>
  <c r="FY777" i="93"/>
  <c r="FG777" i="93"/>
  <c r="FH777" i="93"/>
  <c r="GM777" i="93"/>
  <c r="GD777" i="93"/>
  <c r="HQ777" i="93"/>
  <c r="FO777" i="93"/>
  <c r="JC777" i="93"/>
  <c r="HV777" i="93"/>
  <c r="FL777" i="93"/>
  <c r="JL777" i="93"/>
  <c r="JO777" i="93"/>
  <c r="HE777" i="93"/>
  <c r="GB777" i="93"/>
  <c r="GX777" i="93"/>
  <c r="HL777" i="93"/>
  <c r="FB777" i="93"/>
  <c r="JH777" i="93"/>
  <c r="GK777" i="93"/>
  <c r="GK805" i="93" s="1"/>
  <c r="J855" i="93" s="1"/>
  <c r="GU777" i="93"/>
  <c r="HH777" i="93"/>
  <c r="GT777" i="93"/>
  <c r="A777" i="93"/>
  <c r="GQ777" i="93"/>
  <c r="JO767" i="93"/>
  <c r="JG767" i="93"/>
  <c r="HV767" i="93"/>
  <c r="HV805" i="93" s="1"/>
  <c r="L850" i="93" s="1"/>
  <c r="HD767" i="93"/>
  <c r="GQ767" i="93"/>
  <c r="FY767" i="93"/>
  <c r="FL767" i="93"/>
  <c r="EY767" i="93"/>
  <c r="EY805" i="93" s="1"/>
  <c r="JN767" i="93"/>
  <c r="JF767" i="93"/>
  <c r="HU767" i="93"/>
  <c r="HU805" i="93" s="1"/>
  <c r="K850" i="93" s="1"/>
  <c r="HC767" i="93"/>
  <c r="GP767" i="93"/>
  <c r="FX767" i="93"/>
  <c r="FX805" i="93" s="1"/>
  <c r="L856" i="93" s="1"/>
  <c r="FF767" i="93"/>
  <c r="EX767" i="93"/>
  <c r="JM767" i="93"/>
  <c r="JE767" i="93"/>
  <c r="HT767" i="93"/>
  <c r="HT805" i="93" s="1"/>
  <c r="J850" i="93" s="1"/>
  <c r="HB767" i="93"/>
  <c r="HB805" i="93" s="1"/>
  <c r="L846" i="93" s="1"/>
  <c r="GJ767" i="93"/>
  <c r="FW767" i="93"/>
  <c r="FE767" i="93"/>
  <c r="EW767" i="93"/>
  <c r="JL767" i="93"/>
  <c r="JD767" i="93"/>
  <c r="HN767" i="93"/>
  <c r="HA767" i="93"/>
  <c r="HA805" i="93" s="1"/>
  <c r="K846" i="93" s="1"/>
  <c r="GI767" i="93"/>
  <c r="FV767" i="93"/>
  <c r="FD767" i="93"/>
  <c r="JJ767" i="93"/>
  <c r="HL767" i="93"/>
  <c r="GT767" i="93"/>
  <c r="GG767" i="93"/>
  <c r="FO767" i="93"/>
  <c r="FB767" i="93"/>
  <c r="JQ767" i="93"/>
  <c r="JI767" i="93"/>
  <c r="HX767" i="93"/>
  <c r="HK767" i="93"/>
  <c r="GS767" i="93"/>
  <c r="GF767" i="93"/>
  <c r="GF805" i="93" s="1"/>
  <c r="J854" i="93" s="1"/>
  <c r="FN767" i="93"/>
  <c r="FA767" i="93"/>
  <c r="JK767" i="93"/>
  <c r="GR767" i="93"/>
  <c r="FG767" i="93"/>
  <c r="GC767" i="93"/>
  <c r="FR767" i="93"/>
  <c r="JH767" i="93"/>
  <c r="GH767" i="93"/>
  <c r="JC767" i="93"/>
  <c r="FZ767" i="93"/>
  <c r="HE767" i="93"/>
  <c r="GW767" i="93"/>
  <c r="GW805" i="93" s="1"/>
  <c r="L845" i="93" s="1"/>
  <c r="GK767" i="93"/>
  <c r="FP767" i="93"/>
  <c r="HM767" i="93"/>
  <c r="HM805" i="93" s="1"/>
  <c r="M848" i="93" s="1"/>
  <c r="M865" i="93" s="1"/>
  <c r="FC767" i="93"/>
  <c r="HJ767" i="93"/>
  <c r="EZ767" i="93"/>
  <c r="P189" i="72"/>
  <c r="P1761" i="93"/>
  <c r="B23" i="74"/>
  <c r="E23" i="74"/>
  <c r="I83" i="74"/>
  <c r="I1039" i="93" s="1"/>
  <c r="B83" i="74"/>
  <c r="G23" i="74"/>
  <c r="I23" i="74"/>
  <c r="D111" i="74"/>
  <c r="D1067" i="93" s="1"/>
  <c r="F111" i="74"/>
  <c r="F1067" i="93" s="1"/>
  <c r="G83" i="74"/>
  <c r="G1039" i="93" s="1"/>
  <c r="I53" i="74"/>
  <c r="K23" i="74"/>
  <c r="K83" i="74"/>
  <c r="K1039" i="93" s="1"/>
  <c r="D83" i="74"/>
  <c r="G53" i="74"/>
  <c r="J83" i="74"/>
  <c r="J1039" i="93" s="1"/>
  <c r="H53" i="74"/>
  <c r="F23" i="74"/>
  <c r="C53" i="74"/>
  <c r="H83" i="74"/>
  <c r="H1039" i="93" s="1"/>
  <c r="F83" i="74"/>
  <c r="C111" i="74"/>
  <c r="C1067" i="93" s="1"/>
  <c r="K53" i="74"/>
  <c r="J53" i="74"/>
  <c r="F53" i="74"/>
  <c r="B111" i="74"/>
  <c r="B1067" i="93" s="1"/>
  <c r="E83" i="74"/>
  <c r="N400" i="93"/>
  <c r="E111" i="74"/>
  <c r="E1067" i="93" s="1"/>
  <c r="JI768" i="93"/>
  <c r="GH783" i="93"/>
  <c r="JH770" i="93"/>
  <c r="JP770" i="93"/>
  <c r="JL770" i="93"/>
  <c r="L770" i="93"/>
  <c r="JI770" i="93"/>
  <c r="JQ770" i="93"/>
  <c r="JD770" i="93"/>
  <c r="JN770" i="93"/>
  <c r="JO770" i="93"/>
  <c r="JC770" i="93"/>
  <c r="JJ770" i="93"/>
  <c r="JM770" i="93"/>
  <c r="JE770" i="93"/>
  <c r="JF770" i="93"/>
  <c r="JG770" i="93"/>
  <c r="JF778" i="93"/>
  <c r="JC778" i="93"/>
  <c r="JO778" i="93"/>
  <c r="JN778" i="93"/>
  <c r="JJ778" i="93"/>
  <c r="JK778" i="93"/>
  <c r="JP778" i="93"/>
  <c r="JM778" i="93"/>
  <c r="JH778" i="93"/>
  <c r="JG778" i="93"/>
  <c r="JI778" i="93"/>
  <c r="JD778" i="93"/>
  <c r="JQ778" i="93"/>
  <c r="JE778" i="93"/>
  <c r="JL778" i="93"/>
  <c r="JO786" i="93"/>
  <c r="JQ786" i="93"/>
  <c r="JK786" i="93"/>
  <c r="JL786" i="93"/>
  <c r="JI786" i="93"/>
  <c r="JG786" i="93"/>
  <c r="JF786" i="93"/>
  <c r="JP786" i="93"/>
  <c r="JC786" i="93"/>
  <c r="L786" i="93"/>
  <c r="JM786" i="93"/>
  <c r="JD786" i="93"/>
  <c r="JH786" i="93"/>
  <c r="JN786" i="93"/>
  <c r="JJ786" i="93"/>
  <c r="JE786" i="93"/>
  <c r="JE794" i="93"/>
  <c r="JO794" i="93"/>
  <c r="JL794" i="93"/>
  <c r="JD794" i="93"/>
  <c r="JC794" i="93"/>
  <c r="JP794" i="93"/>
  <c r="JQ794" i="93"/>
  <c r="JN794" i="93"/>
  <c r="A794" i="93"/>
  <c r="JF794" i="93"/>
  <c r="JM794" i="93"/>
  <c r="JQ802" i="93"/>
  <c r="JH802" i="93"/>
  <c r="JM802" i="93"/>
  <c r="JI802" i="93"/>
  <c r="JD802" i="93"/>
  <c r="JN802" i="93"/>
  <c r="JE802" i="93"/>
  <c r="JK802" i="93"/>
  <c r="JF802" i="93"/>
  <c r="JO802" i="93"/>
  <c r="JL802" i="93"/>
  <c r="JG802" i="93"/>
  <c r="L802" i="93"/>
  <c r="A802" i="93"/>
  <c r="JP802" i="93"/>
  <c r="JC802" i="93"/>
  <c r="C1039" i="93"/>
  <c r="E29" i="87"/>
  <c r="O118" i="75"/>
  <c r="L117" i="75"/>
  <c r="L119" i="75" s="1"/>
  <c r="K33" i="84"/>
  <c r="BK48" i="75"/>
  <c r="J69" i="75" s="1"/>
  <c r="R19" i="75"/>
  <c r="R776" i="93" s="1"/>
  <c r="F16" i="86"/>
  <c r="I55" i="84"/>
  <c r="L105" i="75"/>
  <c r="O102" i="75"/>
  <c r="I60" i="84"/>
  <c r="CM48" i="75"/>
  <c r="V568" i="93"/>
  <c r="U452" i="93"/>
  <c r="A452" i="93"/>
  <c r="J746" i="93"/>
  <c r="HW805" i="93"/>
  <c r="M850" i="93" s="1"/>
  <c r="M867" i="93" s="1"/>
  <c r="O114" i="75"/>
  <c r="ED48" i="75"/>
  <c r="G34" i="78"/>
  <c r="F1143" i="93"/>
  <c r="H1143" i="93" s="1"/>
  <c r="K29" i="84"/>
  <c r="R24" i="75"/>
  <c r="R781" i="93" s="1"/>
  <c r="C63" i="74"/>
  <c r="E472" i="93"/>
  <c r="G16" i="86"/>
  <c r="H16" i="86"/>
  <c r="I421" i="93"/>
  <c r="J557" i="93"/>
  <c r="A451" i="93"/>
  <c r="J115" i="75"/>
  <c r="J107" i="75"/>
  <c r="HE805" i="93"/>
  <c r="J847" i="93" s="1"/>
  <c r="O100" i="75"/>
  <c r="CL48" i="75"/>
  <c r="O22" i="86"/>
  <c r="O12" i="86"/>
  <c r="P554" i="93"/>
  <c r="P568" i="93" s="1"/>
  <c r="P585" i="93" s="1"/>
  <c r="M566" i="93"/>
  <c r="JJ802" i="93"/>
  <c r="HV783" i="93"/>
  <c r="E969" i="93"/>
  <c r="D975" i="93"/>
  <c r="D970" i="93"/>
  <c r="C1011" i="93"/>
  <c r="C1019" i="93" s="1"/>
  <c r="C16" i="86"/>
  <c r="G36" i="86"/>
  <c r="M568" i="93"/>
  <c r="M585" i="93" s="1"/>
  <c r="M587" i="93" s="1"/>
  <c r="M589" i="93" s="1"/>
  <c r="O91" i="75"/>
  <c r="IH48" i="75"/>
  <c r="IE48" i="75"/>
  <c r="IL48" i="75"/>
  <c r="EL48" i="75"/>
  <c r="N78" i="75" s="1"/>
  <c r="O78" i="75" s="1"/>
  <c r="DW48" i="75"/>
  <c r="N75" i="75" s="1"/>
  <c r="EA48" i="75"/>
  <c r="M76" i="75" s="1"/>
  <c r="M77" i="75" s="1"/>
  <c r="DT48" i="75"/>
  <c r="K75" i="75" s="1"/>
  <c r="K77" i="75" s="1"/>
  <c r="DE48" i="75"/>
  <c r="K72" i="75" s="1"/>
  <c r="K74" i="75" s="1"/>
  <c r="J453" i="93"/>
  <c r="JP773" i="93"/>
  <c r="JJ773" i="93"/>
  <c r="L773" i="93"/>
  <c r="JG781" i="93"/>
  <c r="CR781" i="93"/>
  <c r="JM781" i="93"/>
  <c r="JD781" i="93"/>
  <c r="JK781" i="93"/>
  <c r="JN781" i="93"/>
  <c r="JQ781" i="93"/>
  <c r="JL781" i="93"/>
  <c r="A781" i="93"/>
  <c r="JP781" i="93"/>
  <c r="JH781" i="93"/>
  <c r="DL781" i="93"/>
  <c r="JE781" i="93"/>
  <c r="JF781" i="93"/>
  <c r="AO781" i="93"/>
  <c r="JJ781" i="93"/>
  <c r="HW781" i="93"/>
  <c r="EZ781" i="93"/>
  <c r="JO781" i="93"/>
  <c r="JI781" i="93"/>
  <c r="JD789" i="93"/>
  <c r="JN789" i="93"/>
  <c r="JM789" i="93"/>
  <c r="JO789" i="93"/>
  <c r="A789" i="93"/>
  <c r="JG789" i="93"/>
  <c r="JF789" i="93"/>
  <c r="JE789" i="93"/>
  <c r="JK789" i="93"/>
  <c r="JP789" i="93"/>
  <c r="JQ789" i="93"/>
  <c r="JL789" i="93"/>
  <c r="JH789" i="93"/>
  <c r="L789" i="93"/>
  <c r="JC789" i="93"/>
  <c r="JI789" i="93"/>
  <c r="JN797" i="93"/>
  <c r="JD797" i="93"/>
  <c r="JE797" i="93"/>
  <c r="JC797" i="93"/>
  <c r="JO797" i="93"/>
  <c r="JG797" i="93"/>
  <c r="JL797" i="93"/>
  <c r="JF797" i="93"/>
  <c r="JJ797" i="93"/>
  <c r="JQ797" i="93"/>
  <c r="JK797" i="93"/>
  <c r="JM797" i="93"/>
  <c r="JI797" i="93"/>
  <c r="CA768" i="93"/>
  <c r="A768" i="93"/>
  <c r="CG776" i="93"/>
  <c r="A776" i="93"/>
  <c r="A784" i="93"/>
  <c r="A792" i="93"/>
  <c r="A770" i="93"/>
  <c r="A786" i="93"/>
  <c r="K779" i="93"/>
  <c r="L779" i="93" s="1"/>
  <c r="A779" i="93"/>
  <c r="K795" i="93"/>
  <c r="L795" i="93" s="1"/>
  <c r="A795" i="93"/>
  <c r="CT800" i="93"/>
  <c r="AS800" i="93"/>
  <c r="AZ800" i="93"/>
  <c r="AU800" i="93"/>
  <c r="CV800" i="93"/>
  <c r="BQ800" i="93"/>
  <c r="BM800" i="93"/>
  <c r="BS800" i="93"/>
  <c r="BT800" i="93"/>
  <c r="BR800" i="93"/>
  <c r="BA800" i="93"/>
  <c r="BK800" i="93"/>
  <c r="AX800" i="93"/>
  <c r="AT800" i="93"/>
  <c r="AR800" i="93"/>
  <c r="BD800" i="93"/>
  <c r="BG800" i="93"/>
  <c r="AQ800" i="93"/>
  <c r="BH800" i="93"/>
  <c r="AV800" i="93"/>
  <c r="AY800" i="93"/>
  <c r="BJ800" i="93"/>
  <c r="BI800" i="93"/>
  <c r="BF800" i="93"/>
  <c r="BN800" i="93"/>
  <c r="BE800" i="93"/>
  <c r="BC800" i="93"/>
  <c r="AH48" i="75"/>
  <c r="AU48" i="75"/>
  <c r="BM48" i="75"/>
  <c r="L69" i="75" s="1"/>
  <c r="JB48" i="75"/>
  <c r="AR48" i="75"/>
  <c r="BR48" i="75"/>
  <c r="L68" i="75" s="1"/>
  <c r="DP48" i="75"/>
  <c r="U450" i="93"/>
  <c r="U498" i="93"/>
  <c r="G56" i="86"/>
  <c r="ER48" i="75"/>
  <c r="J80" i="75" s="1"/>
  <c r="D474" i="93"/>
  <c r="G527" i="93"/>
  <c r="J566" i="93"/>
  <c r="BH48" i="75"/>
  <c r="BP48" i="75"/>
  <c r="J68" i="75" s="1"/>
  <c r="IM48" i="75"/>
  <c r="IK48" i="75"/>
  <c r="BQ48" i="75"/>
  <c r="K68" i="75" s="1"/>
  <c r="K70" i="75" s="1"/>
  <c r="CJ48" i="75"/>
  <c r="AQ48" i="75"/>
  <c r="BI48" i="75"/>
  <c r="IR48" i="75"/>
  <c r="DR48" i="75"/>
  <c r="K746" i="93"/>
  <c r="GI805" i="93"/>
  <c r="M854" i="93" s="1"/>
  <c r="HO805" i="93"/>
  <c r="J849" i="93" s="1"/>
  <c r="GA805" i="93"/>
  <c r="J857" i="93" s="1"/>
  <c r="O98" i="75"/>
  <c r="A48" i="75"/>
  <c r="A5" i="75" s="1"/>
  <c r="BS48" i="75"/>
  <c r="M68" i="75" s="1"/>
  <c r="CU48" i="75"/>
  <c r="FA48" i="75"/>
  <c r="IJ48" i="75"/>
  <c r="IZ48" i="75"/>
  <c r="CV48" i="75"/>
  <c r="IX48" i="75"/>
  <c r="CX48" i="75"/>
  <c r="N84" i="66"/>
  <c r="HC805" i="93"/>
  <c r="M846" i="93" s="1"/>
  <c r="K800" i="93"/>
  <c r="L800" i="93" s="1"/>
  <c r="IM779" i="93"/>
  <c r="EA779" i="93"/>
  <c r="DF779" i="93"/>
  <c r="CT779" i="93"/>
  <c r="DB787" i="93"/>
  <c r="BX787" i="93"/>
  <c r="BU795" i="93"/>
  <c r="DB795" i="93"/>
  <c r="CZ795" i="93"/>
  <c r="BV795" i="93"/>
  <c r="CR795" i="93"/>
  <c r="AK795" i="93"/>
  <c r="BY795" i="93"/>
  <c r="K21" i="75"/>
  <c r="L21" i="75" s="1"/>
  <c r="I778" i="93"/>
  <c r="K778" i="93" s="1"/>
  <c r="L778" i="93" s="1"/>
  <c r="CW785" i="93"/>
  <c r="BQ785" i="93"/>
  <c r="BI785" i="93"/>
  <c r="BA785" i="93"/>
  <c r="AS785" i="93"/>
  <c r="BJ793" i="93"/>
  <c r="AZ793" i="93"/>
  <c r="CX793" i="93"/>
  <c r="BR793" i="93"/>
  <c r="BH793" i="93"/>
  <c r="AW793" i="93"/>
  <c r="CT793" i="93"/>
  <c r="BN793" i="93"/>
  <c r="BD793" i="93"/>
  <c r="AS793" i="93"/>
  <c r="CW783" i="93"/>
  <c r="CU783" i="93"/>
  <c r="BY783" i="93"/>
  <c r="BH783" i="93"/>
  <c r="AB783" i="93"/>
  <c r="IU789" i="93"/>
  <c r="EL789" i="93"/>
  <c r="DV789" i="93"/>
  <c r="DF789" i="93"/>
  <c r="JB789" i="93"/>
  <c r="EQ789" i="93"/>
  <c r="EA789" i="93"/>
  <c r="DK789" i="93"/>
  <c r="JI795" i="93"/>
  <c r="EU795" i="93"/>
  <c r="DI795" i="93"/>
  <c r="JF795" i="93"/>
  <c r="EF795" i="93"/>
  <c r="JK795" i="93"/>
  <c r="EK795" i="93"/>
  <c r="JH795" i="93"/>
  <c r="DX795" i="93"/>
  <c r="IU795" i="93"/>
  <c r="DD795" i="93"/>
  <c r="FO805" i="93"/>
  <c r="M858" i="93" s="1"/>
  <c r="HL805" i="93"/>
  <c r="L848" i="93" s="1"/>
  <c r="L865" i="93" s="1"/>
  <c r="B25" i="74"/>
  <c r="D85" i="74"/>
  <c r="F113" i="74"/>
  <c r="K85" i="74"/>
  <c r="F85" i="74"/>
  <c r="H55" i="74"/>
  <c r="C113" i="74"/>
  <c r="E85" i="74"/>
  <c r="J55" i="74"/>
  <c r="I55" i="74"/>
  <c r="J85" i="74"/>
  <c r="C85" i="74"/>
  <c r="B85" i="74"/>
  <c r="G55" i="74"/>
  <c r="B113" i="74"/>
  <c r="G85" i="74"/>
  <c r="K55" i="74"/>
  <c r="EW805" i="93"/>
  <c r="AN791" i="93"/>
  <c r="JP784" i="93"/>
  <c r="JH784" i="93"/>
  <c r="L781" i="93"/>
  <c r="K792" i="93"/>
  <c r="L792" i="93" s="1"/>
  <c r="CW803" i="93"/>
  <c r="CX803" i="93"/>
  <c r="IS785" i="93"/>
  <c r="II785" i="93"/>
  <c r="EK785" i="93"/>
  <c r="DU785" i="93"/>
  <c r="DE785" i="93"/>
  <c r="CO785" i="93"/>
  <c r="CG785" i="93"/>
  <c r="BY785" i="93"/>
  <c r="AK785" i="93"/>
  <c r="AC785" i="93"/>
  <c r="IK793" i="93"/>
  <c r="IF793" i="93"/>
  <c r="IH793" i="93"/>
  <c r="DA793" i="93"/>
  <c r="CP793" i="93"/>
  <c r="CF793" i="93"/>
  <c r="BU793" i="93"/>
  <c r="AO793" i="93"/>
  <c r="AE793" i="93"/>
  <c r="W793" i="93"/>
  <c r="CN793" i="93"/>
  <c r="CC793" i="93"/>
  <c r="AL793" i="93"/>
  <c r="AC793" i="93"/>
  <c r="EF793" i="93"/>
  <c r="CJ793" i="93"/>
  <c r="BY793" i="93"/>
  <c r="AH793" i="93"/>
  <c r="Z793" i="93"/>
  <c r="CY800" i="93"/>
  <c r="BX800" i="93"/>
  <c r="BV800" i="93"/>
  <c r="DC800" i="93"/>
  <c r="BU800" i="93"/>
  <c r="DA800" i="93"/>
  <c r="BY800" i="93"/>
  <c r="IZ771" i="93"/>
  <c r="IR783" i="93"/>
  <c r="EV783" i="93"/>
  <c r="DZ783" i="93"/>
  <c r="DE783" i="93"/>
  <c r="Q1691" i="93"/>
  <c r="L1691" i="93"/>
  <c r="DR789" i="93"/>
  <c r="EM789" i="93"/>
  <c r="AG793" i="93"/>
  <c r="AX793" i="93"/>
  <c r="BP793" i="93"/>
  <c r="CG793" i="93"/>
  <c r="CW793" i="93"/>
  <c r="IJ793" i="93"/>
  <c r="CI795" i="93"/>
  <c r="IM795" i="93"/>
  <c r="AR797" i="93"/>
  <c r="DB800" i="93"/>
  <c r="JK803" i="93"/>
  <c r="M903" i="93"/>
  <c r="JD788" i="93"/>
  <c r="AU789" i="93"/>
  <c r="BC789" i="93"/>
  <c r="BK789" i="93"/>
  <c r="CN791" i="93"/>
  <c r="CU803" i="93"/>
  <c r="N894" i="93"/>
  <c r="K34" i="75"/>
  <c r="L34" i="75" s="1"/>
  <c r="I791" i="93"/>
  <c r="K791" i="93" s="1"/>
  <c r="L791" i="93" s="1"/>
  <c r="HY799" i="93"/>
  <c r="HY805" i="93" s="1"/>
  <c r="J851" i="93" s="1"/>
  <c r="HV799" i="93"/>
  <c r="FE799" i="93"/>
  <c r="GS799" i="93"/>
  <c r="GS805" i="93" s="1"/>
  <c r="M844" i="93" s="1"/>
  <c r="EZ799" i="93"/>
  <c r="GE799" i="93"/>
  <c r="GM801" i="93"/>
  <c r="FY801" i="93"/>
  <c r="FY805" i="93" s="1"/>
  <c r="M856" i="93" s="1"/>
  <c r="HX801" i="93"/>
  <c r="EZ801" i="93"/>
  <c r="HU793" i="93"/>
  <c r="HM793" i="93"/>
  <c r="FJ783" i="93"/>
  <c r="IK795" i="93"/>
  <c r="IE795" i="93"/>
  <c r="CQ795" i="93"/>
  <c r="CB795" i="93"/>
  <c r="AI795" i="93"/>
  <c r="A801" i="93"/>
  <c r="EI804" i="93"/>
  <c r="FK793" i="93"/>
  <c r="Q1828" i="93"/>
  <c r="M1935" i="93"/>
  <c r="I772" i="93"/>
  <c r="K772" i="93" s="1"/>
  <c r="L772" i="93" s="1"/>
  <c r="K15" i="75"/>
  <c r="L15" i="75" s="1"/>
  <c r="GE793" i="93"/>
  <c r="K889" i="93"/>
  <c r="P903" i="93"/>
  <c r="K907" i="93"/>
  <c r="I794" i="93"/>
  <c r="K794" i="93" s="1"/>
  <c r="L794" i="93" s="1"/>
  <c r="K37" i="75"/>
  <c r="L37" i="75" s="1"/>
  <c r="GO769" i="93"/>
  <c r="GO805" i="93" s="1"/>
  <c r="N855" i="93" s="1"/>
  <c r="A791" i="93"/>
  <c r="CU775" i="93"/>
  <c r="O1649" i="93"/>
  <c r="M1829" i="93"/>
  <c r="HD804" i="93"/>
  <c r="FY804" i="93"/>
  <c r="HX804" i="93"/>
  <c r="GS804" i="93"/>
  <c r="FM804" i="93"/>
  <c r="HM804" i="93"/>
  <c r="GG804" i="93"/>
  <c r="FD804" i="93"/>
  <c r="HH784" i="93"/>
  <c r="DD803" i="93"/>
  <c r="K785" i="93"/>
  <c r="K793" i="93"/>
  <c r="L793" i="93" s="1"/>
  <c r="K799" i="93"/>
  <c r="L799" i="93" s="1"/>
  <c r="L788" i="93"/>
  <c r="CV788" i="93"/>
  <c r="CU796" i="93"/>
  <c r="JG800" i="93"/>
  <c r="DL782" i="93"/>
  <c r="O839" i="93"/>
  <c r="A839" i="93" s="1"/>
  <c r="N889" i="93"/>
  <c r="G903" i="93"/>
  <c r="J907" i="93"/>
  <c r="I912" i="93"/>
  <c r="P924" i="93"/>
  <c r="K26" i="74"/>
  <c r="FI793" i="93"/>
  <c r="GB779" i="93"/>
  <c r="HH768" i="93"/>
  <c r="A1097" i="93"/>
  <c r="H1097" i="93" s="1"/>
  <c r="F26" i="74"/>
  <c r="FU793" i="93"/>
  <c r="GB791" i="93"/>
  <c r="GB805" i="93" s="1"/>
  <c r="K857" i="93" s="1"/>
  <c r="HZ772" i="93"/>
  <c r="CX791" i="93"/>
  <c r="G907" i="93"/>
  <c r="HR795" i="93"/>
  <c r="HR805" i="93" s="1"/>
  <c r="M849" i="93" s="1"/>
  <c r="M866" i="93" s="1"/>
  <c r="GL783" i="93"/>
  <c r="HF774" i="93"/>
  <c r="GE767" i="93"/>
  <c r="L1918" i="93"/>
  <c r="HI793" i="93"/>
  <c r="FR790" i="93"/>
  <c r="IC785" i="93"/>
  <c r="GY783" i="93"/>
  <c r="HG769" i="93"/>
  <c r="L785" i="93"/>
  <c r="CU779" i="93"/>
  <c r="ES774" i="93"/>
  <c r="EF802" i="93"/>
  <c r="L889" i="93"/>
  <c r="G894" i="93"/>
  <c r="H898" i="93"/>
  <c r="H903" i="93"/>
  <c r="O903" i="93"/>
  <c r="R1918" i="93"/>
  <c r="AB48" i="75"/>
  <c r="J57" i="75" s="1"/>
  <c r="GN771" i="93"/>
  <c r="O76" i="75"/>
  <c r="K111" i="75"/>
  <c r="K84" i="75"/>
  <c r="O90" i="75"/>
  <c r="O1848" i="93"/>
  <c r="E37" i="72"/>
  <c r="E1591" i="93" s="1"/>
  <c r="M1156" i="93"/>
  <c r="F1011" i="93"/>
  <c r="F1019" i="93" s="1"/>
  <c r="F63" i="74"/>
  <c r="J70" i="75"/>
  <c r="O68" i="75"/>
  <c r="GN805" i="93"/>
  <c r="M855" i="93" s="1"/>
  <c r="HF805" i="93"/>
  <c r="K847" i="93" s="1"/>
  <c r="HP805" i="93"/>
  <c r="K849" i="93" s="1"/>
  <c r="K866" i="93" s="1"/>
  <c r="HZ805" i="93"/>
  <c r="K851" i="93" s="1"/>
  <c r="N86" i="75"/>
  <c r="N110" i="75"/>
  <c r="M86" i="75"/>
  <c r="M106" i="75"/>
  <c r="O184" i="75"/>
  <c r="P184" i="75"/>
  <c r="F58" i="73"/>
  <c r="F1152" i="93"/>
  <c r="J77" i="75"/>
  <c r="P65" i="66"/>
  <c r="P76" i="93"/>
  <c r="H78" i="93"/>
  <c r="F56" i="89"/>
  <c r="D37" i="90" s="1"/>
  <c r="N51" i="73"/>
  <c r="M51" i="73"/>
  <c r="B994" i="93"/>
  <c r="F1010" i="93"/>
  <c r="F65" i="82"/>
  <c r="J866" i="93"/>
  <c r="H64" i="73"/>
  <c r="O89" i="75"/>
  <c r="O64" i="75"/>
  <c r="P1857" i="93"/>
  <c r="P294" i="72"/>
  <c r="P1848" i="93" s="1"/>
  <c r="L77" i="75"/>
  <c r="K1143" i="93"/>
  <c r="C38" i="74"/>
  <c r="H43" i="73"/>
  <c r="J600" i="93"/>
  <c r="J164" i="78"/>
  <c r="E3" i="86"/>
  <c r="J151" i="78"/>
  <c r="J153" i="78" s="1"/>
  <c r="H18" i="84"/>
  <c r="C40" i="84" s="1"/>
  <c r="F47" i="78"/>
  <c r="H282" i="72"/>
  <c r="H76" i="93"/>
  <c r="H65" i="66"/>
  <c r="H1836" i="93"/>
  <c r="K1153" i="93"/>
  <c r="K59" i="73"/>
  <c r="O101" i="75"/>
  <c r="J104" i="75"/>
  <c r="N111" i="75"/>
  <c r="N84" i="75"/>
  <c r="F57" i="73"/>
  <c r="F1151" i="93"/>
  <c r="F48" i="73"/>
  <c r="F1142" i="93"/>
  <c r="F55" i="73"/>
  <c r="O108" i="75"/>
  <c r="L74" i="75"/>
  <c r="N119" i="75"/>
  <c r="L395" i="93"/>
  <c r="N80" i="75"/>
  <c r="F41" i="74"/>
  <c r="H42" i="73"/>
  <c r="G1014" i="93"/>
  <c r="H58" i="74"/>
  <c r="F45" i="82"/>
  <c r="F33" i="74"/>
  <c r="E981" i="93"/>
  <c r="E33" i="74"/>
  <c r="E45" i="82"/>
  <c r="O94" i="75"/>
  <c r="O87" i="75"/>
  <c r="IN48" i="75"/>
  <c r="IU48" i="75"/>
  <c r="IY48" i="75"/>
  <c r="AS48" i="75"/>
  <c r="G982" i="93"/>
  <c r="G34" i="74"/>
  <c r="G132" i="78"/>
  <c r="D42" i="68"/>
  <c r="D405" i="93" s="1"/>
  <c r="F113" i="78"/>
  <c r="C133" i="90"/>
  <c r="L59" i="85" s="1"/>
  <c r="F115" i="78"/>
  <c r="I33" i="74"/>
  <c r="I981" i="93"/>
  <c r="I989" i="93" s="1"/>
  <c r="FS805" i="93"/>
  <c r="L859" i="93" s="1"/>
  <c r="O65" i="75"/>
  <c r="L107" i="75"/>
  <c r="O107" i="75" s="1"/>
  <c r="L84" i="75"/>
  <c r="O88" i="75"/>
  <c r="L86" i="75"/>
  <c r="K110" i="75"/>
  <c r="O110" i="75" s="1"/>
  <c r="K86" i="75"/>
  <c r="J109" i="75"/>
  <c r="O92" i="75"/>
  <c r="J84" i="75"/>
  <c r="F1150" i="93"/>
  <c r="F56" i="73"/>
  <c r="P1634" i="93"/>
  <c r="P67" i="72"/>
  <c r="AE805" i="93"/>
  <c r="M814" i="93" s="1"/>
  <c r="H33" i="74"/>
  <c r="H981" i="93"/>
  <c r="H989" i="93" s="1"/>
  <c r="G474" i="93"/>
  <c r="L106" i="75"/>
  <c r="O95" i="75"/>
  <c r="M105" i="75"/>
  <c r="GU805" i="93"/>
  <c r="J845" i="93" s="1"/>
  <c r="GV805" i="93"/>
  <c r="K845" i="93" s="1"/>
  <c r="C981" i="93"/>
  <c r="C989" i="93" s="1"/>
  <c r="C33" i="74"/>
  <c r="P186" i="75"/>
  <c r="N105" i="75"/>
  <c r="CT48" i="75"/>
  <c r="IT48" i="75"/>
  <c r="BJ48" i="75"/>
  <c r="BN48" i="75"/>
  <c r="M69" i="75" s="1"/>
  <c r="N74" i="75"/>
  <c r="J58" i="75"/>
  <c r="O56" i="75"/>
  <c r="M104" i="75"/>
  <c r="K105" i="75"/>
  <c r="C1012" i="93"/>
  <c r="C64" i="74"/>
  <c r="J105" i="75"/>
  <c r="C978" i="93"/>
  <c r="N66" i="75"/>
  <c r="S132" i="78"/>
  <c r="K19" i="75"/>
  <c r="L19" i="75" s="1"/>
  <c r="I776" i="93"/>
  <c r="K776" i="93" s="1"/>
  <c r="L776" i="93" s="1"/>
  <c r="AI48" i="75"/>
  <c r="CN48" i="75"/>
  <c r="CW48" i="75"/>
  <c r="EY48" i="75"/>
  <c r="IS48" i="75"/>
  <c r="JA48" i="75"/>
  <c r="M279" i="72"/>
  <c r="M1833" i="93" s="1"/>
  <c r="P1611" i="93"/>
  <c r="DL48" i="75"/>
  <c r="M73" i="75" s="1"/>
  <c r="DN48" i="75"/>
  <c r="U561" i="93"/>
  <c r="A561" i="93"/>
  <c r="L730" i="93"/>
  <c r="E61" i="84"/>
  <c r="E62" i="84" s="1"/>
  <c r="G61" i="84"/>
  <c r="G62" i="84" s="1"/>
  <c r="I61" i="84"/>
  <c r="I62" i="84" s="1"/>
  <c r="EG48" i="75"/>
  <c r="N77" i="75" s="1"/>
  <c r="DQ48" i="75"/>
  <c r="DG48" i="75"/>
  <c r="M72" i="75" s="1"/>
  <c r="O72" i="75" s="1"/>
  <c r="DI48" i="75"/>
  <c r="J73" i="75" s="1"/>
  <c r="O73" i="75" s="1"/>
  <c r="E31" i="72"/>
  <c r="E1585" i="93" s="1"/>
  <c r="O1648" i="93"/>
  <c r="J463" i="93"/>
  <c r="J568" i="93" s="1"/>
  <c r="J585" i="93" s="1"/>
  <c r="J587" i="93" s="1"/>
  <c r="J589" i="93" s="1"/>
  <c r="O171" i="72"/>
  <c r="O1725" i="93" s="1"/>
  <c r="EN48" i="75"/>
  <c r="K79" i="75" s="1"/>
  <c r="O79" i="75" s="1"/>
  <c r="G453" i="93"/>
  <c r="G568" i="93" s="1"/>
  <c r="P582" i="93"/>
  <c r="P586" i="93" s="1"/>
  <c r="GG805" i="93"/>
  <c r="K854" i="93" s="1"/>
  <c r="CO48" i="75"/>
  <c r="J116" i="75" s="1"/>
  <c r="O116" i="75" s="1"/>
  <c r="CA48" i="75"/>
  <c r="K113" i="75" s="1"/>
  <c r="FM805" i="93"/>
  <c r="K858" i="93" s="1"/>
  <c r="FV805" i="93"/>
  <c r="J856" i="93" s="1"/>
  <c r="HK805" i="93"/>
  <c r="K848" i="93" s="1"/>
  <c r="HN805" i="93"/>
  <c r="N848" i="93" s="1"/>
  <c r="N865" i="93" s="1"/>
  <c r="FE805" i="93"/>
  <c r="M852" i="93" s="1"/>
  <c r="FN805" i="93"/>
  <c r="L858" i="93" s="1"/>
  <c r="GZ805" i="93"/>
  <c r="J846" i="93" s="1"/>
  <c r="FL805" i="93"/>
  <c r="J858" i="93" s="1"/>
  <c r="HD805" i="93"/>
  <c r="N846" i="93" s="1"/>
  <c r="FF805" i="93"/>
  <c r="N852" i="93" s="1"/>
  <c r="GP805" i="93"/>
  <c r="J844" i="93" s="1"/>
  <c r="GT805" i="93"/>
  <c r="N844" i="93" s="1"/>
  <c r="GQ805" i="93"/>
  <c r="K844" i="93" s="1"/>
  <c r="IU796" i="93"/>
  <c r="DS796" i="93"/>
  <c r="JN773" i="93"/>
  <c r="A773" i="93"/>
  <c r="JK773" i="93"/>
  <c r="JD773" i="93"/>
  <c r="JD805" i="93" s="1"/>
  <c r="JC773" i="93"/>
  <c r="JM773" i="93"/>
  <c r="JF773" i="93"/>
  <c r="JF805" i="93" s="1"/>
  <c r="JH773" i="93"/>
  <c r="JE773" i="93"/>
  <c r="JQ773" i="93"/>
  <c r="JG773" i="93"/>
  <c r="JL773" i="93"/>
  <c r="JI773" i="93"/>
  <c r="AW790" i="93"/>
  <c r="BA790" i="93"/>
  <c r="BJ790" i="93"/>
  <c r="BR790" i="93"/>
  <c r="CW790" i="93"/>
  <c r="AR790" i="93"/>
  <c r="BM790" i="93"/>
  <c r="CT790" i="93"/>
  <c r="BP790" i="93"/>
  <c r="AV790" i="93"/>
  <c r="CV790" i="93"/>
  <c r="AZ790" i="93"/>
  <c r="CV798" i="93"/>
  <c r="BT798" i="93"/>
  <c r="AS798" i="93"/>
  <c r="AV798" i="93"/>
  <c r="BG798" i="93"/>
  <c r="AZ798" i="93"/>
  <c r="CT798" i="93"/>
  <c r="BD798" i="93"/>
  <c r="BQ798" i="93"/>
  <c r="CX798" i="93"/>
  <c r="JA773" i="93"/>
  <c r="IW773" i="93"/>
  <c r="IS773" i="93"/>
  <c r="IS805" i="93" s="1"/>
  <c r="IO773" i="93"/>
  <c r="IK773" i="93"/>
  <c r="IG773" i="93"/>
  <c r="EV773" i="93"/>
  <c r="ER773" i="93"/>
  <c r="EN773" i="93"/>
  <c r="EJ773" i="93"/>
  <c r="EF773" i="93"/>
  <c r="EB773" i="93"/>
  <c r="EB805" i="93" s="1"/>
  <c r="N833" i="93" s="1"/>
  <c r="DX773" i="93"/>
  <c r="DT773" i="93"/>
  <c r="DP773" i="93"/>
  <c r="DL773" i="93"/>
  <c r="DH773" i="93"/>
  <c r="DD773" i="93"/>
  <c r="CZ773" i="93"/>
  <c r="CV773" i="93"/>
  <c r="CR773" i="93"/>
  <c r="CN773" i="93"/>
  <c r="CJ773" i="93"/>
  <c r="CJ805" i="93" s="1"/>
  <c r="CF773" i="93"/>
  <c r="CB773" i="93"/>
  <c r="BX773" i="93"/>
  <c r="BT773" i="93"/>
  <c r="BP773" i="93"/>
  <c r="BP805" i="93" s="1"/>
  <c r="J825" i="93" s="1"/>
  <c r="BL773" i="93"/>
  <c r="BH773" i="93"/>
  <c r="BD773" i="93"/>
  <c r="AZ773" i="93"/>
  <c r="AV773" i="93"/>
  <c r="AR773" i="93"/>
  <c r="AN773" i="93"/>
  <c r="AJ773" i="93"/>
  <c r="AJ805" i="93" s="1"/>
  <c r="AF773" i="93"/>
  <c r="AB773" i="93"/>
  <c r="X773" i="93"/>
  <c r="IY773" i="93"/>
  <c r="IU773" i="93"/>
  <c r="IQ773" i="93"/>
  <c r="IM773" i="93"/>
  <c r="II773" i="93"/>
  <c r="IE773" i="93"/>
  <c r="ET773" i="93"/>
  <c r="EP773" i="93"/>
  <c r="EL773" i="93"/>
  <c r="EH773" i="93"/>
  <c r="ED773" i="93"/>
  <c r="DZ773" i="93"/>
  <c r="DZ805" i="93" s="1"/>
  <c r="L833" i="93" s="1"/>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JB773" i="93"/>
  <c r="IX773" i="93"/>
  <c r="IT773" i="93"/>
  <c r="IP773" i="93"/>
  <c r="IL773" i="93"/>
  <c r="IH773" i="93"/>
  <c r="ID773" i="93"/>
  <c r="ES773" i="93"/>
  <c r="ES805" i="93" s="1"/>
  <c r="EO773" i="93"/>
  <c r="EK773" i="93"/>
  <c r="EK805" i="93" s="1"/>
  <c r="M835" i="93" s="1"/>
  <c r="EG773" i="93"/>
  <c r="EC773" i="93"/>
  <c r="EC805" i="93" s="1"/>
  <c r="DY773" i="93"/>
  <c r="DU773" i="93"/>
  <c r="DQ773" i="93"/>
  <c r="DM773" i="93"/>
  <c r="DI773" i="93"/>
  <c r="DE773" i="93"/>
  <c r="DE805" i="93" s="1"/>
  <c r="K829" i="93" s="1"/>
  <c r="DA773" i="93"/>
  <c r="CW773" i="93"/>
  <c r="CS773" i="93"/>
  <c r="CO773" i="93"/>
  <c r="CK773" i="93"/>
  <c r="CG773" i="93"/>
  <c r="CC773" i="93"/>
  <c r="BY773" i="93"/>
  <c r="BU773" i="93"/>
  <c r="BQ773" i="93"/>
  <c r="BM773" i="93"/>
  <c r="BI773" i="93"/>
  <c r="BE773" i="93"/>
  <c r="BE805" i="93" s="1"/>
  <c r="N821" i="93" s="1"/>
  <c r="BA773" i="93"/>
  <c r="AW773" i="93"/>
  <c r="AS773" i="93"/>
  <c r="AO773" i="93"/>
  <c r="AK773" i="93"/>
  <c r="AG773" i="93"/>
  <c r="AC773" i="93"/>
  <c r="Y773" i="93"/>
  <c r="DR778" i="93"/>
  <c r="IH778" i="93"/>
  <c r="IU778" i="93"/>
  <c r="BN778" i="93"/>
  <c r="AK778" i="93"/>
  <c r="IK778" i="93"/>
  <c r="DV778" i="93"/>
  <c r="AX778" i="93"/>
  <c r="IP778" i="93"/>
  <c r="AM778" i="93"/>
  <c r="CO778" i="93"/>
  <c r="EM778" i="93"/>
  <c r="IM778" i="93"/>
  <c r="AH778" i="93"/>
  <c r="EH778" i="93"/>
  <c r="CE778" i="93"/>
  <c r="W778" i="93"/>
  <c r="BI778" i="93"/>
  <c r="CP778" i="93"/>
  <c r="DW778" i="93"/>
  <c r="DI778" i="93"/>
  <c r="EA778" i="93"/>
  <c r="BC778" i="93"/>
  <c r="IY778" i="93"/>
  <c r="EI778" i="93"/>
  <c r="DG778" i="93"/>
  <c r="DG805" i="93" s="1"/>
  <c r="M829" i="93" s="1"/>
  <c r="CK778" i="93"/>
  <c r="BK778" i="93"/>
  <c r="AI778" i="93"/>
  <c r="BO778" i="93"/>
  <c r="DK778" i="93"/>
  <c r="BA778" i="93"/>
  <c r="CI778" i="93"/>
  <c r="DQ778" i="93"/>
  <c r="IE778" i="93"/>
  <c r="AD778" i="93"/>
  <c r="ED778" i="93"/>
  <c r="AO778" i="93"/>
  <c r="EO778" i="93"/>
  <c r="ET778" i="93"/>
  <c r="CC778" i="93"/>
  <c r="AT778" i="93"/>
  <c r="AB794" i="93"/>
  <c r="CR794" i="93"/>
  <c r="IF794" i="93"/>
  <c r="AQ794" i="93"/>
  <c r="CQ794" i="93"/>
  <c r="BL794" i="93"/>
  <c r="X794" i="93"/>
  <c r="AK794" i="93"/>
  <c r="IE794" i="93"/>
  <c r="AW794" i="93"/>
  <c r="CB794" i="93"/>
  <c r="IM794" i="93"/>
  <c r="BM794" i="93"/>
  <c r="CM794" i="93"/>
  <c r="BH794" i="93"/>
  <c r="W794" i="93"/>
  <c r="IG794" i="93"/>
  <c r="AR794" i="93"/>
  <c r="AM794" i="93"/>
  <c r="BO794" i="93"/>
  <c r="IH797" i="93"/>
  <c r="CY797" i="93"/>
  <c r="CN797" i="93"/>
  <c r="CD797" i="93"/>
  <c r="BS797" i="93"/>
  <c r="BH797" i="93"/>
  <c r="AX797" i="93"/>
  <c r="AO797" i="93"/>
  <c r="AG797" i="93"/>
  <c r="Y797" i="93"/>
  <c r="IF797" i="93"/>
  <c r="CX797" i="93"/>
  <c r="CM797" i="93"/>
  <c r="CB797" i="93"/>
  <c r="BR797" i="93"/>
  <c r="BG797" i="93"/>
  <c r="BG805" i="93" s="1"/>
  <c r="AV797" i="93"/>
  <c r="AN797" i="93"/>
  <c r="AF797" i="93"/>
  <c r="X797" i="93"/>
  <c r="IM797" i="93"/>
  <c r="CT797" i="93"/>
  <c r="CI797" i="93"/>
  <c r="BX797" i="93"/>
  <c r="BN797" i="93"/>
  <c r="BC797" i="93"/>
  <c r="AS797" i="93"/>
  <c r="AK797" i="93"/>
  <c r="AC797" i="93"/>
  <c r="CR797" i="93"/>
  <c r="BB797" i="93"/>
  <c r="IR797" i="93"/>
  <c r="DH797" i="93"/>
  <c r="EJ797" i="93"/>
  <c r="IJ797" i="93"/>
  <c r="IJ805" i="93" s="1"/>
  <c r="EH797" i="93"/>
  <c r="DL797" i="93"/>
  <c r="CQ797" i="93"/>
  <c r="BV797" i="93"/>
  <c r="AZ797" i="93"/>
  <c r="AI797" i="93"/>
  <c r="IY797" i="93"/>
  <c r="ID797" i="93"/>
  <c r="EF797" i="93"/>
  <c r="DK797" i="93"/>
  <c r="CP797" i="93"/>
  <c r="BT797" i="93"/>
  <c r="AY797" i="93"/>
  <c r="AY805" i="93" s="1"/>
  <c r="M822" i="93" s="1"/>
  <c r="AH797" i="93"/>
  <c r="A797" i="93"/>
  <c r="IW797" i="93"/>
  <c r="IG797" i="93"/>
  <c r="EO797" i="93"/>
  <c r="DY797" i="93"/>
  <c r="DI797" i="93"/>
  <c r="CS797" i="93"/>
  <c r="CC797" i="93"/>
  <c r="BM797" i="93"/>
  <c r="AW797" i="93"/>
  <c r="IL797" i="93"/>
  <c r="EE797" i="93"/>
  <c r="BW797" i="93"/>
  <c r="AJ797" i="93"/>
  <c r="ED797" i="93"/>
  <c r="IQ797" i="93"/>
  <c r="DO797" i="93"/>
  <c r="DO805" i="93" s="1"/>
  <c r="IU797" i="93"/>
  <c r="ER797" i="93"/>
  <c r="DW797" i="93"/>
  <c r="DB797" i="93"/>
  <c r="CF797" i="93"/>
  <c r="BK797" i="93"/>
  <c r="AQ797" i="93"/>
  <c r="AA797" i="93"/>
  <c r="IN797" i="93"/>
  <c r="IN805" i="93" s="1"/>
  <c r="EQ797" i="93"/>
  <c r="EQ805" i="93" s="1"/>
  <c r="N836" i="93" s="1"/>
  <c r="DV797" i="93"/>
  <c r="CZ797" i="93"/>
  <c r="CE797" i="93"/>
  <c r="BJ797" i="93"/>
  <c r="AP797" i="93"/>
  <c r="Z797" i="93"/>
  <c r="IO797" i="93"/>
  <c r="DC797" i="93"/>
  <c r="BL797" i="93"/>
  <c r="AB797" i="93"/>
  <c r="DS797" i="93"/>
  <c r="EU797" i="93"/>
  <c r="DD797" i="93"/>
  <c r="IP797" i="93"/>
  <c r="EM797" i="93"/>
  <c r="DR797" i="93"/>
  <c r="CV797" i="93"/>
  <c r="CA797" i="93"/>
  <c r="BF797" i="93"/>
  <c r="AM797" i="93"/>
  <c r="W797" i="93"/>
  <c r="II797" i="93"/>
  <c r="EL797" i="93"/>
  <c r="DP797" i="93"/>
  <c r="CU797" i="93"/>
  <c r="BZ797" i="93"/>
  <c r="BD797" i="93"/>
  <c r="AL797" i="93"/>
  <c r="IP790" i="93"/>
  <c r="EH790" i="93"/>
  <c r="IU790" i="93"/>
  <c r="EM790" i="93"/>
  <c r="JE790" i="93"/>
  <c r="DM790" i="93"/>
  <c r="JJ790" i="93"/>
  <c r="DY790" i="93"/>
  <c r="JK790" i="93"/>
  <c r="EL790" i="93"/>
  <c r="JH790" i="93"/>
  <c r="DS790" i="93"/>
  <c r="IO790" i="93"/>
  <c r="EG790" i="93"/>
  <c r="EA790" i="93"/>
  <c r="DR790" i="93"/>
  <c r="JI794" i="93"/>
  <c r="EA794" i="93"/>
  <c r="JA794" i="93"/>
  <c r="EV794" i="93"/>
  <c r="DK794" i="93"/>
  <c r="DY794" i="93"/>
  <c r="DP794" i="93"/>
  <c r="JK794" i="93"/>
  <c r="EF794" i="93"/>
  <c r="IZ794" i="93"/>
  <c r="EU794" i="93"/>
  <c r="DI794" i="93"/>
  <c r="JJ794" i="93"/>
  <c r="EE794" i="93"/>
  <c r="JG794" i="93"/>
  <c r="DX794" i="93"/>
  <c r="JH794" i="93"/>
  <c r="JI783" i="93"/>
  <c r="A783" i="93"/>
  <c r="JM787" i="93"/>
  <c r="JI787" i="93"/>
  <c r="JL787" i="93"/>
  <c r="JH787" i="93"/>
  <c r="JQ787" i="93"/>
  <c r="JK787" i="93"/>
  <c r="JE787" i="93"/>
  <c r="JJ791" i="93"/>
  <c r="JI791" i="93"/>
  <c r="JL791" i="93"/>
  <c r="JH791" i="93"/>
  <c r="CX784" i="93"/>
  <c r="CT784" i="93"/>
  <c r="CW784" i="93"/>
  <c r="CV784" i="93"/>
  <c r="DB784" i="93"/>
  <c r="BW784" i="93"/>
  <c r="AF784" i="93"/>
  <c r="EH784" i="93"/>
  <c r="DA784" i="93"/>
  <c r="CP784" i="93"/>
  <c r="BV784" i="93"/>
  <c r="IZ784" i="93"/>
  <c r="DM784" i="93"/>
  <c r="CZ784" i="93"/>
  <c r="BY784" i="93"/>
  <c r="BU784" i="93"/>
  <c r="DB799" i="93"/>
  <c r="BX799" i="93"/>
  <c r="DA799" i="93"/>
  <c r="CZ799" i="93"/>
  <c r="BW799" i="93"/>
  <c r="CY799" i="93"/>
  <c r="BU799" i="93"/>
  <c r="EU796" i="93"/>
  <c r="P894" i="93"/>
  <c r="P898" i="93"/>
  <c r="K942" i="93"/>
  <c r="JB787" i="93"/>
  <c r="IQ787" i="93"/>
  <c r="IG787" i="93"/>
  <c r="ET787" i="93"/>
  <c r="EI787" i="93"/>
  <c r="DY787" i="93"/>
  <c r="DN787" i="93"/>
  <c r="CQ787" i="93"/>
  <c r="CG787" i="93"/>
  <c r="AL787" i="93"/>
  <c r="AA787" i="93"/>
  <c r="JA787" i="93"/>
  <c r="IP787" i="93"/>
  <c r="IE787" i="93"/>
  <c r="EP787" i="93"/>
  <c r="EE787" i="93"/>
  <c r="DU787" i="93"/>
  <c r="DJ787" i="93"/>
  <c r="CP787" i="93"/>
  <c r="CE787" i="93"/>
  <c r="AK787" i="93"/>
  <c r="Z787" i="93"/>
  <c r="IW787" i="93"/>
  <c r="IL787" i="93"/>
  <c r="EO787" i="93"/>
  <c r="ED787" i="93"/>
  <c r="DS787" i="93"/>
  <c r="DS805" i="93" s="1"/>
  <c r="J832" i="93" s="1"/>
  <c r="DI787" i="93"/>
  <c r="CL787" i="93"/>
  <c r="CA787" i="93"/>
  <c r="CA805" i="93" s="1"/>
  <c r="K870" i="93" s="1"/>
  <c r="AG787" i="93"/>
  <c r="IM781" i="93"/>
  <c r="II781" i="93"/>
  <c r="IE781" i="93"/>
  <c r="IL781" i="93"/>
  <c r="IH781" i="93"/>
  <c r="ID781" i="93"/>
  <c r="IK781" i="93"/>
  <c r="IG781" i="93"/>
  <c r="JC781" i="93"/>
  <c r="IX781" i="93"/>
  <c r="IR781" i="93"/>
  <c r="JB781" i="93"/>
  <c r="IV781" i="93"/>
  <c r="IQ781" i="93"/>
  <c r="IZ781" i="93"/>
  <c r="IU781" i="93"/>
  <c r="IP781" i="93"/>
  <c r="IV797" i="93"/>
  <c r="DT797" i="93"/>
  <c r="IX797" i="93"/>
  <c r="EP797" i="93"/>
  <c r="DN797" i="93"/>
  <c r="EI797" i="93"/>
  <c r="DJ797" i="93"/>
  <c r="P885" i="93"/>
  <c r="K923" i="93"/>
  <c r="ID799" i="93"/>
  <c r="CR799" i="93"/>
  <c r="BD799" i="93"/>
  <c r="CP799" i="93"/>
  <c r="AJ799" i="93"/>
  <c r="IH799" i="93"/>
  <c r="DP799" i="93"/>
  <c r="CI799" i="93"/>
  <c r="AI799" i="93"/>
  <c r="CV787" i="93"/>
  <c r="BB787" i="93"/>
  <c r="CX787" i="93"/>
  <c r="BQ787" i="93"/>
  <c r="AU787" i="93"/>
  <c r="AU805" i="93" s="1"/>
  <c r="CU787" i="93"/>
  <c r="BM787" i="93"/>
  <c r="AQ787" i="93"/>
  <c r="AQ805" i="93" s="1"/>
  <c r="CX795" i="93"/>
  <c r="BS795" i="93"/>
  <c r="BS805" i="93" s="1"/>
  <c r="M825" i="93" s="1"/>
  <c r="CV795" i="93"/>
  <c r="BM795" i="93"/>
  <c r="BD795" i="93"/>
  <c r="CX799" i="93"/>
  <c r="AP786" i="93"/>
  <c r="IM786" i="93"/>
  <c r="JB791" i="93"/>
  <c r="IM791" i="93"/>
  <c r="EV791" i="93"/>
  <c r="EH791" i="93"/>
  <c r="DS791" i="93"/>
  <c r="DF791" i="93"/>
  <c r="CZ791" i="93"/>
  <c r="CI791" i="93"/>
  <c r="BY791" i="93"/>
  <c r="BU791" i="93"/>
  <c r="AI791" i="93"/>
  <c r="IV791" i="93"/>
  <c r="IH791" i="93"/>
  <c r="ET791" i="93"/>
  <c r="EF791" i="93"/>
  <c r="DR791" i="93"/>
  <c r="DC791" i="93"/>
  <c r="DC805" i="93" s="1"/>
  <c r="N875" i="93" s="1"/>
  <c r="CY791" i="93"/>
  <c r="CH791" i="93"/>
  <c r="BX791" i="93"/>
  <c r="BK791" i="93"/>
  <c r="AF791" i="93"/>
  <c r="IT791" i="93"/>
  <c r="IF791" i="93"/>
  <c r="EN791" i="93"/>
  <c r="EA791" i="93"/>
  <c r="DL791" i="93"/>
  <c r="DB791" i="93"/>
  <c r="CP791" i="93"/>
  <c r="CB791" i="93"/>
  <c r="BW791" i="93"/>
  <c r="AP791" i="93"/>
  <c r="AA791" i="93"/>
  <c r="J885" i="93"/>
  <c r="N898" i="93"/>
  <c r="F934" i="93"/>
  <c r="AC48" i="75"/>
  <c r="K57" i="75" s="1"/>
  <c r="FT782" i="93"/>
  <c r="FT805" i="93" s="1"/>
  <c r="M859" i="93" s="1"/>
  <c r="FR782" i="93"/>
  <c r="FR805" i="93" s="1"/>
  <c r="K859" i="93" s="1"/>
  <c r="M1721" i="93"/>
  <c r="P1721" i="93" s="1"/>
  <c r="FG802" i="93"/>
  <c r="FG805" i="93" s="1"/>
  <c r="J853" i="93" s="1"/>
  <c r="GY802" i="93"/>
  <c r="FR801" i="93"/>
  <c r="HG801" i="93"/>
  <c r="HG797" i="93"/>
  <c r="FI788" i="93"/>
  <c r="GC777" i="93"/>
  <c r="GE777" i="93"/>
  <c r="GE775" i="93"/>
  <c r="GE805" i="93" s="1"/>
  <c r="N857" i="93" s="1"/>
  <c r="HH775" i="93"/>
  <c r="HH805" i="93" s="1"/>
  <c r="M847" i="93" s="1"/>
  <c r="GY770" i="93"/>
  <c r="FK802" i="93"/>
  <c r="GL775" i="93"/>
  <c r="GL805" i="93" s="1"/>
  <c r="K855" i="93" s="1"/>
  <c r="FJ799" i="93"/>
  <c r="GD799" i="93"/>
  <c r="GD805" i="93" s="1"/>
  <c r="M857" i="93" s="1"/>
  <c r="FQ799" i="93"/>
  <c r="FQ805" i="93" s="1"/>
  <c r="J859" i="93" s="1"/>
  <c r="FU799" i="93"/>
  <c r="HI798" i="93"/>
  <c r="HI805" i="93" s="1"/>
  <c r="N847" i="93" s="1"/>
  <c r="FU798" i="93"/>
  <c r="FH795" i="93"/>
  <c r="FJ795" i="93"/>
  <c r="HQ793" i="93"/>
  <c r="HQ805" i="93" s="1"/>
  <c r="L849" i="93" s="1"/>
  <c r="L866" i="93" s="1"/>
  <c r="FJ791" i="93"/>
  <c r="FJ805" i="93" s="1"/>
  <c r="M853" i="93" s="1"/>
  <c r="M862" i="93" s="1"/>
  <c r="HG780" i="93"/>
  <c r="GX779" i="93"/>
  <c r="GX805" i="93" s="1"/>
  <c r="M845" i="93" s="1"/>
  <c r="FU779" i="93"/>
  <c r="IC777" i="93"/>
  <c r="GC772" i="93"/>
  <c r="HS770" i="93"/>
  <c r="M1722" i="93"/>
  <c r="P1722" i="93" s="1"/>
  <c r="AF48" i="75"/>
  <c r="N57" i="75" s="1"/>
  <c r="N58" i="75" s="1"/>
  <c r="AE48" i="75"/>
  <c r="M57" i="75" s="1"/>
  <c r="M58" i="75" s="1"/>
  <c r="AD48" i="75"/>
  <c r="L57" i="75" s="1"/>
  <c r="L58" i="75" s="1"/>
  <c r="FH775" i="93"/>
  <c r="FH791" i="93"/>
  <c r="FH787" i="93"/>
  <c r="HS781" i="93"/>
  <c r="FK781" i="93"/>
  <c r="A2011" i="93"/>
  <c r="T1729" i="93"/>
  <c r="D53" i="74"/>
  <c r="B53" i="74"/>
  <c r="D23" i="74"/>
  <c r="T1727" i="93"/>
  <c r="E53" i="74"/>
  <c r="J23" i="74"/>
  <c r="H23" i="74"/>
  <c r="C23" i="74"/>
  <c r="HG805" i="93" l="1"/>
  <c r="L847" i="93" s="1"/>
  <c r="IF805" i="93"/>
  <c r="IR805" i="93"/>
  <c r="BA805" i="93"/>
  <c r="J821" i="93" s="1"/>
  <c r="AF805" i="93"/>
  <c r="N814" i="93" s="1"/>
  <c r="IK805" i="93"/>
  <c r="M861" i="93"/>
  <c r="O66" i="75"/>
  <c r="K982" i="93"/>
  <c r="K990" i="93" s="1"/>
  <c r="K34" i="74"/>
  <c r="G1041" i="93"/>
  <c r="G1048" i="93" s="1"/>
  <c r="G92" i="74"/>
  <c r="E1041" i="93"/>
  <c r="E1048" i="93" s="1"/>
  <c r="E92" i="74"/>
  <c r="E975" i="93"/>
  <c r="E977" i="93"/>
  <c r="E970" i="93"/>
  <c r="F969" i="93"/>
  <c r="E971" i="93"/>
  <c r="F1039" i="93"/>
  <c r="E32" i="87"/>
  <c r="B1039" i="93"/>
  <c r="E28" i="87"/>
  <c r="GH805" i="93"/>
  <c r="L854" i="93" s="1"/>
  <c r="O854" i="93" s="1"/>
  <c r="L867" i="93"/>
  <c r="FW805" i="93"/>
  <c r="K856" i="93" s="1"/>
  <c r="H1137" i="93"/>
  <c r="L32" i="68"/>
  <c r="Y805" i="93"/>
  <c r="L813" i="93" s="1"/>
  <c r="K979" i="93"/>
  <c r="E17" i="87"/>
  <c r="K45" i="82"/>
  <c r="FK805" i="93"/>
  <c r="N853" i="93" s="1"/>
  <c r="FI805" i="93"/>
  <c r="L853" i="93" s="1"/>
  <c r="CU805" i="93"/>
  <c r="EE805" i="93"/>
  <c r="CQ805" i="93"/>
  <c r="L873" i="93" s="1"/>
  <c r="CO805" i="93"/>
  <c r="J873" i="93" s="1"/>
  <c r="AN805" i="93"/>
  <c r="L816" i="93" s="1"/>
  <c r="P587" i="93"/>
  <c r="P589" i="93" s="1"/>
  <c r="O69" i="75"/>
  <c r="G1011" i="93"/>
  <c r="G1019" i="93" s="1"/>
  <c r="G63" i="74"/>
  <c r="H1011" i="93"/>
  <c r="H1019" i="93" s="1"/>
  <c r="H63" i="74"/>
  <c r="K1142" i="93"/>
  <c r="K48" i="73"/>
  <c r="E1039" i="93"/>
  <c r="E31" i="87"/>
  <c r="C1009" i="93"/>
  <c r="E19" i="87"/>
  <c r="I1009" i="93"/>
  <c r="I65" i="82"/>
  <c r="E25" i="87"/>
  <c r="E979" i="93"/>
  <c r="E11" i="87"/>
  <c r="B984" i="93"/>
  <c r="B53" i="82"/>
  <c r="N65" i="73"/>
  <c r="M65" i="73"/>
  <c r="N57" i="73"/>
  <c r="M57" i="73"/>
  <c r="H1153" i="93"/>
  <c r="E474" i="93"/>
  <c r="EJ805" i="93"/>
  <c r="L835" i="93" s="1"/>
  <c r="M74" i="75"/>
  <c r="F982" i="93"/>
  <c r="F990" i="93" s="1"/>
  <c r="F34" i="74"/>
  <c r="B1041" i="93"/>
  <c r="B1048" i="93" s="1"/>
  <c r="B92" i="74"/>
  <c r="F1041" i="93"/>
  <c r="F1048" i="93" s="1"/>
  <c r="F92" i="74"/>
  <c r="F979" i="93"/>
  <c r="E12" i="87"/>
  <c r="B37" i="74"/>
  <c r="B979" i="93"/>
  <c r="E8" i="87"/>
  <c r="B45" i="82"/>
  <c r="C75" i="84"/>
  <c r="JO805" i="93"/>
  <c r="F1139" i="93"/>
  <c r="H1139" i="93" s="1"/>
  <c r="F45" i="73"/>
  <c r="O75" i="75"/>
  <c r="G1151" i="93"/>
  <c r="G45" i="73"/>
  <c r="G1145" i="93"/>
  <c r="G1146" i="93"/>
  <c r="G55" i="73"/>
  <c r="I55" i="73" s="1"/>
  <c r="G1136" i="93"/>
  <c r="G1138" i="93"/>
  <c r="G1150" i="93"/>
  <c r="G57" i="73"/>
  <c r="G1142" i="93"/>
  <c r="G58" i="73"/>
  <c r="G42" i="73"/>
  <c r="I42" i="73" s="1"/>
  <c r="G50" i="73"/>
  <c r="G1156" i="93"/>
  <c r="I1156" i="93" s="1"/>
  <c r="I1161" i="93" s="1"/>
  <c r="G41" i="73"/>
  <c r="G1149" i="93"/>
  <c r="I1149" i="93" s="1"/>
  <c r="I1154" i="93" s="1"/>
  <c r="G65" i="73"/>
  <c r="G49" i="73"/>
  <c r="I49" i="73" s="1"/>
  <c r="O1621" i="93"/>
  <c r="G1137" i="93"/>
  <c r="I1137" i="93" s="1"/>
  <c r="G44" i="73"/>
  <c r="G1159" i="93"/>
  <c r="G48" i="73"/>
  <c r="G56" i="73"/>
  <c r="G1152" i="93"/>
  <c r="G1157" i="93"/>
  <c r="G62" i="73"/>
  <c r="I62" i="73" s="1"/>
  <c r="G1139" i="93"/>
  <c r="I1139" i="93" s="1"/>
  <c r="G1160" i="93"/>
  <c r="G51" i="73"/>
  <c r="G1135" i="93"/>
  <c r="G66" i="73"/>
  <c r="G63" i="73"/>
  <c r="G1144" i="93"/>
  <c r="G52" i="73"/>
  <c r="G1153" i="93"/>
  <c r="I1153" i="93" s="1"/>
  <c r="G1158" i="93"/>
  <c r="I1158" i="93" s="1"/>
  <c r="P58" i="73"/>
  <c r="G64" i="73"/>
  <c r="I64" i="73" s="1"/>
  <c r="G1143" i="93"/>
  <c r="I1143" i="93" s="1"/>
  <c r="G43" i="73"/>
  <c r="I43" i="73" s="1"/>
  <c r="G59" i="73"/>
  <c r="I59" i="73" s="1"/>
  <c r="GC805" i="93"/>
  <c r="L857" i="93" s="1"/>
  <c r="IZ805" i="93"/>
  <c r="AI805" i="93"/>
  <c r="BQ805" i="93"/>
  <c r="K825" i="93" s="1"/>
  <c r="JA805" i="93"/>
  <c r="N1151" i="93"/>
  <c r="C1041" i="93"/>
  <c r="C1048" i="93" s="1"/>
  <c r="C92" i="74"/>
  <c r="K1041" i="93"/>
  <c r="K1048" i="93" s="1"/>
  <c r="K92" i="74"/>
  <c r="F1009" i="93"/>
  <c r="E22" i="87"/>
  <c r="H1009" i="93"/>
  <c r="H65" i="82"/>
  <c r="E24" i="87"/>
  <c r="L864" i="93"/>
  <c r="HX805" i="93"/>
  <c r="N850" i="93" s="1"/>
  <c r="N867" i="93" s="1"/>
  <c r="EX805" i="93"/>
  <c r="K18" i="75"/>
  <c r="L18" i="75" s="1"/>
  <c r="L48" i="75" s="1"/>
  <c r="L49" i="75" s="1"/>
  <c r="I775" i="93"/>
  <c r="K775" i="93" s="1"/>
  <c r="L775" i="93" s="1"/>
  <c r="L805" i="93" s="1"/>
  <c r="L806" i="93" s="1"/>
  <c r="I1136" i="93"/>
  <c r="H1136" i="93"/>
  <c r="C1069" i="93"/>
  <c r="C1076" i="93" s="1"/>
  <c r="C120" i="74"/>
  <c r="M1159" i="93"/>
  <c r="N1159" i="93"/>
  <c r="IC805" i="93"/>
  <c r="N851" i="93" s="1"/>
  <c r="O851" i="93" s="1"/>
  <c r="GY805" i="93"/>
  <c r="N845" i="93" s="1"/>
  <c r="AT805" i="93"/>
  <c r="J1041" i="93"/>
  <c r="J1048" i="93" s="1"/>
  <c r="J92" i="74"/>
  <c r="F1069" i="93"/>
  <c r="F1076" i="93" s="1"/>
  <c r="F120" i="74"/>
  <c r="J1009" i="93"/>
  <c r="J65" i="82"/>
  <c r="E26" i="87"/>
  <c r="L229" i="72"/>
  <c r="L1783" i="93" s="1"/>
  <c r="P1743" i="93"/>
  <c r="FD805" i="93"/>
  <c r="L852" i="93" s="1"/>
  <c r="F52" i="73"/>
  <c r="F1146" i="93"/>
  <c r="J868" i="93"/>
  <c r="M868" i="93"/>
  <c r="CY805" i="93"/>
  <c r="J875" i="93" s="1"/>
  <c r="AS805" i="93"/>
  <c r="AX805" i="93"/>
  <c r="L822" i="93" s="1"/>
  <c r="X805" i="93"/>
  <c r="K813" i="93" s="1"/>
  <c r="H59" i="73"/>
  <c r="I1011" i="93"/>
  <c r="I1019" i="93" s="1"/>
  <c r="I63" i="74"/>
  <c r="D1041" i="93"/>
  <c r="D1048" i="93" s="1"/>
  <c r="D92" i="74"/>
  <c r="L70" i="75"/>
  <c r="D972" i="93"/>
  <c r="D976" i="93" s="1"/>
  <c r="D992" i="93" s="1"/>
  <c r="K1009" i="93"/>
  <c r="K65" i="82"/>
  <c r="E27" i="87"/>
  <c r="E23" i="87"/>
  <c r="G65" i="82"/>
  <c r="G1009" i="93"/>
  <c r="I979" i="93"/>
  <c r="I45" i="82"/>
  <c r="E15" i="87"/>
  <c r="EZ805" i="93"/>
  <c r="FZ805" i="93"/>
  <c r="N856" i="93" s="1"/>
  <c r="N861" i="93" s="1"/>
  <c r="K64" i="73"/>
  <c r="K1158" i="93"/>
  <c r="N56" i="73"/>
  <c r="M56" i="73"/>
  <c r="B1069" i="93"/>
  <c r="B1076" i="93" s="1"/>
  <c r="B120" i="74"/>
  <c r="K43" i="73"/>
  <c r="K1137" i="93"/>
  <c r="AM805" i="93"/>
  <c r="K816" i="93" s="1"/>
  <c r="CC805" i="93"/>
  <c r="M870" i="93" s="1"/>
  <c r="BH805" i="93"/>
  <c r="JN805" i="93"/>
  <c r="L861" i="93"/>
  <c r="K1011" i="93"/>
  <c r="K1019" i="93" s="1"/>
  <c r="K63" i="74"/>
  <c r="J1011" i="93"/>
  <c r="J1019" i="93" s="1"/>
  <c r="J63" i="74"/>
  <c r="B981" i="93"/>
  <c r="B989" i="93" s="1"/>
  <c r="B33" i="74"/>
  <c r="D1039" i="93"/>
  <c r="E30" i="87"/>
  <c r="G979" i="93"/>
  <c r="E13" i="87"/>
  <c r="G45" i="82"/>
  <c r="HJ805" i="93"/>
  <c r="J848" i="93" s="1"/>
  <c r="J865" i="93" s="1"/>
  <c r="FB805" i="93"/>
  <c r="J852" i="93" s="1"/>
  <c r="GJ805" i="93"/>
  <c r="N854" i="93" s="1"/>
  <c r="K1146" i="93"/>
  <c r="K52" i="73"/>
  <c r="C65" i="82"/>
  <c r="F1159" i="93"/>
  <c r="F65" i="73"/>
  <c r="N1150" i="93"/>
  <c r="M1150" i="93"/>
  <c r="M60" i="75"/>
  <c r="M62" i="75" s="1"/>
  <c r="H10" i="88" s="1"/>
  <c r="I10" i="88" s="1"/>
  <c r="D10" i="88"/>
  <c r="E10" i="88" s="1"/>
  <c r="L868" i="93"/>
  <c r="L841" i="93"/>
  <c r="N60" i="75"/>
  <c r="N62" i="75" s="1"/>
  <c r="H11" i="88" s="1"/>
  <c r="I11" i="88" s="1"/>
  <c r="D11" i="88"/>
  <c r="E11" i="88" s="1"/>
  <c r="H979" i="93"/>
  <c r="E14" i="87"/>
  <c r="H45" i="82"/>
  <c r="D979" i="93"/>
  <c r="E10" i="87"/>
  <c r="D45" i="82"/>
  <c r="N864" i="93"/>
  <c r="CM805" i="93"/>
  <c r="BK805" i="93"/>
  <c r="J826" i="93" s="1"/>
  <c r="DW805" i="93"/>
  <c r="N832" i="93" s="1"/>
  <c r="CE805" i="93"/>
  <c r="J871" i="93" s="1"/>
  <c r="EM805" i="93"/>
  <c r="J836" i="93" s="1"/>
  <c r="AO805" i="93"/>
  <c r="M816" i="93" s="1"/>
  <c r="BU805" i="93"/>
  <c r="J818" i="93" s="1"/>
  <c r="CK805" i="93"/>
  <c r="DA805" i="93"/>
  <c r="L875" i="93" s="1"/>
  <c r="DQ805" i="93"/>
  <c r="EG805" i="93"/>
  <c r="N834" i="93" s="1"/>
  <c r="ID805" i="93"/>
  <c r="IT805" i="93"/>
  <c r="AD805" i="93"/>
  <c r="L814" i="93" s="1"/>
  <c r="L815" i="93" s="1"/>
  <c r="L817" i="93" s="1"/>
  <c r="BJ805" i="93"/>
  <c r="BZ805" i="93"/>
  <c r="J870" i="93" s="1"/>
  <c r="CP805" i="93"/>
  <c r="K873" i="93" s="1"/>
  <c r="DF805" i="93"/>
  <c r="L829" i="93" s="1"/>
  <c r="DV805" i="93"/>
  <c r="M832" i="93" s="1"/>
  <c r="EL805" i="93"/>
  <c r="N835" i="93" s="1"/>
  <c r="II805" i="93"/>
  <c r="IY805" i="93"/>
  <c r="AZ805" i="93"/>
  <c r="N822" i="93" s="1"/>
  <c r="N823" i="93" s="1"/>
  <c r="J827" i="93"/>
  <c r="CF805" i="93"/>
  <c r="K871" i="93" s="1"/>
  <c r="CV805" i="93"/>
  <c r="DL805" i="93"/>
  <c r="M830" i="93" s="1"/>
  <c r="ER805" i="93"/>
  <c r="IO805" i="93"/>
  <c r="JG805" i="93"/>
  <c r="JK805" i="93"/>
  <c r="K861" i="93"/>
  <c r="O852" i="93"/>
  <c r="J863" i="93"/>
  <c r="O844" i="93"/>
  <c r="J843" i="93"/>
  <c r="J867" i="93"/>
  <c r="O846" i="93"/>
  <c r="P74" i="93"/>
  <c r="P63" i="66"/>
  <c r="C1020" i="93"/>
  <c r="J60" i="75"/>
  <c r="D7" i="88"/>
  <c r="O845" i="93"/>
  <c r="J841" i="93"/>
  <c r="J864" i="93"/>
  <c r="B480" i="93"/>
  <c r="G470" i="93"/>
  <c r="I1150" i="93"/>
  <c r="H1150" i="93"/>
  <c r="F1154" i="93"/>
  <c r="G990" i="93"/>
  <c r="I1142" i="93"/>
  <c r="I1147" i="93" s="1"/>
  <c r="H1142" i="93"/>
  <c r="N59" i="73"/>
  <c r="M59" i="73"/>
  <c r="E15" i="86"/>
  <c r="D35" i="86"/>
  <c r="C35" i="86"/>
  <c r="I15" i="86"/>
  <c r="F35" i="86"/>
  <c r="H35" i="86"/>
  <c r="O16" i="86"/>
  <c r="F15" i="86"/>
  <c r="O17" i="86"/>
  <c r="D15" i="86"/>
  <c r="H15" i="86"/>
  <c r="E35" i="86"/>
  <c r="I35" i="86"/>
  <c r="F55" i="86"/>
  <c r="G35" i="86"/>
  <c r="G15" i="86"/>
  <c r="G55" i="86"/>
  <c r="H55" i="86"/>
  <c r="C55" i="86"/>
  <c r="D55" i="86"/>
  <c r="E55" i="86"/>
  <c r="C15" i="86"/>
  <c r="K80" i="75"/>
  <c r="O80" i="75" s="1"/>
  <c r="K1157" i="93"/>
  <c r="O111" i="75"/>
  <c r="K63" i="73"/>
  <c r="J979" i="93"/>
  <c r="E16" i="87"/>
  <c r="J45" i="82"/>
  <c r="B1009" i="93"/>
  <c r="E18" i="87"/>
  <c r="B65" i="82"/>
  <c r="FH805" i="93"/>
  <c r="K853" i="93" s="1"/>
  <c r="K862" i="93" s="1"/>
  <c r="FU805" i="93"/>
  <c r="N859" i="93" s="1"/>
  <c r="N862" i="93" s="1"/>
  <c r="IV805" i="93"/>
  <c r="DK805" i="93"/>
  <c r="L830" i="93" s="1"/>
  <c r="BC805" i="93"/>
  <c r="L821" i="93" s="1"/>
  <c r="L823" i="93" s="1"/>
  <c r="AC805" i="93"/>
  <c r="K814" i="93" s="1"/>
  <c r="K815" i="93" s="1"/>
  <c r="K817" i="93" s="1"/>
  <c r="BI805" i="93"/>
  <c r="BY805" i="93"/>
  <c r="N818" i="93" s="1"/>
  <c r="DU805" i="93"/>
  <c r="L832" i="93" s="1"/>
  <c r="L834" i="93" s="1"/>
  <c r="IH805" i="93"/>
  <c r="IX805" i="93"/>
  <c r="AH805" i="93"/>
  <c r="BN805" i="93"/>
  <c r="M826" i="93" s="1"/>
  <c r="M827" i="93" s="1"/>
  <c r="CD805" i="93"/>
  <c r="N870" i="93" s="1"/>
  <c r="CT805" i="93"/>
  <c r="DJ805" i="93"/>
  <c r="K830" i="93" s="1"/>
  <c r="K831" i="93" s="1"/>
  <c r="EP805" i="93"/>
  <c r="M836" i="93" s="1"/>
  <c r="IM805" i="93"/>
  <c r="BD805" i="93"/>
  <c r="M821" i="93" s="1"/>
  <c r="M823" i="93" s="1"/>
  <c r="BT805" i="93"/>
  <c r="N825" i="93" s="1"/>
  <c r="CZ805" i="93"/>
  <c r="K875" i="93" s="1"/>
  <c r="DP805" i="93"/>
  <c r="L831" i="93" s="1"/>
  <c r="EF805" i="93"/>
  <c r="EV805" i="93"/>
  <c r="JQ805" i="93"/>
  <c r="JM805" i="93"/>
  <c r="A805" i="93"/>
  <c r="A762" i="93" s="1"/>
  <c r="N863" i="93"/>
  <c r="O848" i="93"/>
  <c r="K865" i="93"/>
  <c r="O865" i="93" s="1"/>
  <c r="K1136" i="93"/>
  <c r="K42" i="73"/>
  <c r="K44" i="73"/>
  <c r="K1138" i="93"/>
  <c r="P1621" i="93"/>
  <c r="Q58" i="73"/>
  <c r="O84" i="75"/>
  <c r="F63" i="73"/>
  <c r="F1157" i="93"/>
  <c r="K1144" i="93"/>
  <c r="K1147" i="93" s="1"/>
  <c r="K50" i="73"/>
  <c r="M70" i="75"/>
  <c r="I48" i="73"/>
  <c r="H48" i="73"/>
  <c r="K66" i="73"/>
  <c r="K1160" i="93"/>
  <c r="N1153" i="93"/>
  <c r="M1153" i="93"/>
  <c r="M1143" i="93"/>
  <c r="N1143" i="93"/>
  <c r="I1152" i="93"/>
  <c r="H1152" i="93"/>
  <c r="F1145" i="93"/>
  <c r="F51" i="73"/>
  <c r="K868" i="93"/>
  <c r="O847" i="93"/>
  <c r="O70" i="75"/>
  <c r="E1009" i="93"/>
  <c r="E65" i="82"/>
  <c r="E21" i="87"/>
  <c r="D1009" i="93"/>
  <c r="E20" i="87"/>
  <c r="D65" i="82"/>
  <c r="D9" i="88"/>
  <c r="E9" i="88" s="1"/>
  <c r="L60" i="75"/>
  <c r="L62" i="75" s="1"/>
  <c r="H9" i="88" s="1"/>
  <c r="I9" i="88" s="1"/>
  <c r="HS805" i="93"/>
  <c r="N849" i="93" s="1"/>
  <c r="N866" i="93" s="1"/>
  <c r="M864" i="93"/>
  <c r="M841" i="93"/>
  <c r="O853" i="93"/>
  <c r="J862" i="93"/>
  <c r="O57" i="75"/>
  <c r="K58" i="75"/>
  <c r="AA805" i="93"/>
  <c r="N813" i="93" s="1"/>
  <c r="N815" i="93" s="1"/>
  <c r="BW805" i="93"/>
  <c r="L818" i="93" s="1"/>
  <c r="BO805" i="93"/>
  <c r="N826" i="93" s="1"/>
  <c r="EA805" i="93"/>
  <c r="M833" i="93" s="1"/>
  <c r="AG805" i="93"/>
  <c r="AW805" i="93"/>
  <c r="K822" i="93" s="1"/>
  <c r="BM805" i="93"/>
  <c r="L826" i="93" s="1"/>
  <c r="CS805" i="93"/>
  <c r="N873" i="93" s="1"/>
  <c r="DI805" i="93"/>
  <c r="J830" i="93" s="1"/>
  <c r="DY805" i="93"/>
  <c r="K833" i="93" s="1"/>
  <c r="EO805" i="93"/>
  <c r="L836" i="93" s="1"/>
  <c r="IL805" i="93"/>
  <c r="JB805" i="93"/>
  <c r="AL805" i="93"/>
  <c r="J816" i="93" s="1"/>
  <c r="BB805" i="93"/>
  <c r="K821" i="93" s="1"/>
  <c r="BR805" i="93"/>
  <c r="L825" i="93" s="1"/>
  <c r="L827" i="93" s="1"/>
  <c r="CH805" i="93"/>
  <c r="M871" i="93" s="1"/>
  <c r="M872" i="93" s="1"/>
  <c r="CX805" i="93"/>
  <c r="DN805" i="93"/>
  <c r="ED805" i="93"/>
  <c r="ET805" i="93"/>
  <c r="IQ805" i="93"/>
  <c r="AB805" i="93"/>
  <c r="J814" i="93" s="1"/>
  <c r="O814" i="93" s="1"/>
  <c r="AR805" i="93"/>
  <c r="BX805" i="93"/>
  <c r="M818" i="93" s="1"/>
  <c r="CN805" i="93"/>
  <c r="DD805" i="93"/>
  <c r="J829" i="93" s="1"/>
  <c r="DT805" i="93"/>
  <c r="K832" i="93" s="1"/>
  <c r="O832" i="93" s="1"/>
  <c r="IG805" i="93"/>
  <c r="IW805" i="93"/>
  <c r="JI805" i="93"/>
  <c r="JE805" i="93"/>
  <c r="JC805" i="93"/>
  <c r="K843" i="93"/>
  <c r="K863" i="93"/>
  <c r="K867" i="93"/>
  <c r="O850" i="93"/>
  <c r="L863" i="93"/>
  <c r="L843" i="93"/>
  <c r="K41" i="73"/>
  <c r="O105" i="75"/>
  <c r="K1135" i="93"/>
  <c r="F44" i="73"/>
  <c r="F1138" i="93"/>
  <c r="I74" i="93"/>
  <c r="I63" i="66"/>
  <c r="G1776" i="93"/>
  <c r="J1937" i="93"/>
  <c r="J383" i="72"/>
  <c r="B4" i="82"/>
  <c r="C18" i="84"/>
  <c r="I422" i="93"/>
  <c r="P45" i="73"/>
  <c r="P1139" i="93" s="1"/>
  <c r="G222" i="72"/>
  <c r="J222" i="72" s="1"/>
  <c r="J1776" i="93" s="1"/>
  <c r="K9" i="88"/>
  <c r="K23" i="88" s="1"/>
  <c r="K28" i="88" s="1"/>
  <c r="F39" i="88" s="1"/>
  <c r="I59" i="68"/>
  <c r="H1014" i="93"/>
  <c r="H73" i="82"/>
  <c r="I58" i="74"/>
  <c r="F997" i="93"/>
  <c r="G41" i="74"/>
  <c r="H1151" i="93"/>
  <c r="I1151" i="93"/>
  <c r="O104" i="75"/>
  <c r="F41" i="73"/>
  <c r="F1135" i="93"/>
  <c r="J117" i="75"/>
  <c r="J18" i="84"/>
  <c r="O866" i="93"/>
  <c r="O77" i="75"/>
  <c r="H58" i="73"/>
  <c r="I58" i="73"/>
  <c r="O855" i="93"/>
  <c r="C37" i="74"/>
  <c r="D37" i="74" s="1"/>
  <c r="C979" i="93"/>
  <c r="E9" i="87"/>
  <c r="C45" i="82"/>
  <c r="O859" i="93"/>
  <c r="K872" i="93"/>
  <c r="K874" i="93" s="1"/>
  <c r="K876" i="93" s="1"/>
  <c r="EU805" i="93"/>
  <c r="M837" i="93" s="1"/>
  <c r="JJ805" i="93"/>
  <c r="CI805" i="93"/>
  <c r="N871" i="93" s="1"/>
  <c r="EI805" i="93"/>
  <c r="K835" i="93" s="1"/>
  <c r="W805" i="93"/>
  <c r="J813" i="93" s="1"/>
  <c r="AK805" i="93"/>
  <c r="CG805" i="93"/>
  <c r="L871" i="93" s="1"/>
  <c r="CW805" i="93"/>
  <c r="DM805" i="93"/>
  <c r="N830" i="93" s="1"/>
  <c r="J834" i="93"/>
  <c r="IP805" i="93"/>
  <c r="Z805" i="93"/>
  <c r="M813" i="93" s="1"/>
  <c r="M815" i="93" s="1"/>
  <c r="M817" i="93" s="1"/>
  <c r="M819" i="93" s="1"/>
  <c r="AP805" i="93"/>
  <c r="N816" i="93" s="1"/>
  <c r="BF805" i="93"/>
  <c r="BV805" i="93"/>
  <c r="K818" i="93" s="1"/>
  <c r="CL805" i="93"/>
  <c r="DB805" i="93"/>
  <c r="M875" i="93" s="1"/>
  <c r="DR805" i="93"/>
  <c r="EH805" i="93"/>
  <c r="J835" i="93" s="1"/>
  <c r="IE805" i="93"/>
  <c r="IU805" i="93"/>
  <c r="AV805" i="93"/>
  <c r="J822" i="93" s="1"/>
  <c r="O822" i="93" s="1"/>
  <c r="BL805" i="93"/>
  <c r="K826" i="93" s="1"/>
  <c r="K827" i="93" s="1"/>
  <c r="CB805" i="93"/>
  <c r="L870" i="93" s="1"/>
  <c r="L872" i="93" s="1"/>
  <c r="L874" i="93" s="1"/>
  <c r="L876" i="93" s="1"/>
  <c r="CR805" i="93"/>
  <c r="M873" i="93" s="1"/>
  <c r="DH805" i="93"/>
  <c r="N829" i="93" s="1"/>
  <c r="DX805" i="93"/>
  <c r="J833" i="93" s="1"/>
  <c r="O833" i="93" s="1"/>
  <c r="EN805" i="93"/>
  <c r="K836" i="93" s="1"/>
  <c r="JL805" i="93"/>
  <c r="JH805" i="93"/>
  <c r="M863" i="93"/>
  <c r="M843" i="93"/>
  <c r="O858" i="93"/>
  <c r="O856" i="93"/>
  <c r="J861" i="93"/>
  <c r="K115" i="75"/>
  <c r="O113" i="75"/>
  <c r="J74" i="75"/>
  <c r="O74" i="75" s="1"/>
  <c r="H75" i="93"/>
  <c r="H64" i="66"/>
  <c r="K1139" i="93"/>
  <c r="K45" i="73"/>
  <c r="K841" i="93"/>
  <c r="K864" i="93"/>
  <c r="F50" i="73"/>
  <c r="F1144" i="93"/>
  <c r="F1147" i="93" s="1"/>
  <c r="O106" i="75"/>
  <c r="I56" i="73"/>
  <c r="H56" i="73"/>
  <c r="K55" i="73"/>
  <c r="K1149" i="93"/>
  <c r="O109" i="75"/>
  <c r="O86" i="75"/>
  <c r="E989" i="93"/>
  <c r="H55" i="73"/>
  <c r="F60" i="73"/>
  <c r="I57" i="73"/>
  <c r="H57" i="73"/>
  <c r="C994" i="93"/>
  <c r="D38" i="74"/>
  <c r="E11" i="86" s="1"/>
  <c r="I64" i="66"/>
  <c r="I75" i="93"/>
  <c r="D11" i="86"/>
  <c r="F66" i="73"/>
  <c r="F1160" i="93"/>
  <c r="O857" i="93"/>
  <c r="B970" i="93" l="1"/>
  <c r="H122" i="75"/>
  <c r="B14" i="74"/>
  <c r="K823" i="93"/>
  <c r="H1159" i="93"/>
  <c r="I1159" i="93"/>
  <c r="N43" i="73"/>
  <c r="M43" i="73"/>
  <c r="N868" i="93"/>
  <c r="O868" i="93"/>
  <c r="N52" i="73"/>
  <c r="M52" i="73"/>
  <c r="I1146" i="93"/>
  <c r="H1146" i="93"/>
  <c r="E75" i="84"/>
  <c r="E77" i="84" s="1"/>
  <c r="G75" i="84"/>
  <c r="G77" i="84" s="1"/>
  <c r="C77" i="84"/>
  <c r="I75" i="84"/>
  <c r="I77" i="84" s="1"/>
  <c r="K75" i="84"/>
  <c r="K77" i="84" s="1"/>
  <c r="L862" i="93"/>
  <c r="K837" i="93"/>
  <c r="N1146" i="93"/>
  <c r="M1146" i="93"/>
  <c r="D978" i="93"/>
  <c r="I52" i="73"/>
  <c r="H52" i="73"/>
  <c r="F975" i="93"/>
  <c r="F970" i="93"/>
  <c r="G969" i="93"/>
  <c r="F977" i="93"/>
  <c r="F971" i="93"/>
  <c r="O861" i="93"/>
  <c r="N837" i="93"/>
  <c r="O873" i="93"/>
  <c r="N48" i="73"/>
  <c r="M48" i="73"/>
  <c r="E972" i="93"/>
  <c r="N1158" i="93"/>
  <c r="M1158" i="93"/>
  <c r="N1142" i="93"/>
  <c r="N1147" i="93" s="1"/>
  <c r="M1142" i="93"/>
  <c r="M874" i="93"/>
  <c r="M876" i="93" s="1"/>
  <c r="K819" i="93"/>
  <c r="M64" i="73"/>
  <c r="N64" i="73"/>
  <c r="B993" i="93"/>
  <c r="C10" i="86"/>
  <c r="O875" i="93"/>
  <c r="L819" i="93"/>
  <c r="H65" i="73"/>
  <c r="I65" i="73"/>
  <c r="N1137" i="93"/>
  <c r="M1137" i="93"/>
  <c r="H45" i="73"/>
  <c r="I45" i="73"/>
  <c r="D993" i="93"/>
  <c r="E37" i="74"/>
  <c r="F10" i="86" s="1"/>
  <c r="H50" i="73"/>
  <c r="I50" i="73"/>
  <c r="N1139" i="93"/>
  <c r="M1139" i="93"/>
  <c r="N831" i="93"/>
  <c r="F46" i="73"/>
  <c r="H41" i="73"/>
  <c r="I41" i="73"/>
  <c r="H41" i="74"/>
  <c r="G997" i="93"/>
  <c r="I62" i="66"/>
  <c r="N1135" i="93"/>
  <c r="N1140" i="93" s="1"/>
  <c r="M1135" i="93"/>
  <c r="K1140" i="93"/>
  <c r="O816" i="93"/>
  <c r="O862" i="93"/>
  <c r="I1157" i="93"/>
  <c r="F1161" i="93"/>
  <c r="H1157" i="93"/>
  <c r="M1136" i="93"/>
  <c r="N1136" i="93"/>
  <c r="O943" i="93"/>
  <c r="P943" i="93"/>
  <c r="N872" i="93"/>
  <c r="N874" i="93" s="1"/>
  <c r="N876" i="93" s="1"/>
  <c r="N1157" i="93"/>
  <c r="M1157" i="93"/>
  <c r="K1161" i="93"/>
  <c r="O863" i="93"/>
  <c r="O818" i="93"/>
  <c r="O871" i="93"/>
  <c r="D987" i="93"/>
  <c r="D991" i="93"/>
  <c r="O122" i="75"/>
  <c r="H879" i="93"/>
  <c r="O879" i="93" s="1"/>
  <c r="E100" i="78"/>
  <c r="J100" i="78" s="1"/>
  <c r="E536" i="93"/>
  <c r="J536" i="93" s="1"/>
  <c r="P942" i="93"/>
  <c r="O942" i="93"/>
  <c r="H1160" i="93"/>
  <c r="I1160" i="93"/>
  <c r="D994" i="93"/>
  <c r="E38" i="74"/>
  <c r="F11" i="86"/>
  <c r="O813" i="93"/>
  <c r="J815" i="93"/>
  <c r="C987" i="93"/>
  <c r="C991" i="93"/>
  <c r="H68" i="93"/>
  <c r="H57" i="66"/>
  <c r="P51" i="68"/>
  <c r="P50" i="68"/>
  <c r="I60" i="68"/>
  <c r="M384" i="72"/>
  <c r="J384" i="72"/>
  <c r="J385" i="72" s="1"/>
  <c r="I73" i="93"/>
  <c r="O941" i="93"/>
  <c r="P941" i="93"/>
  <c r="L837" i="93"/>
  <c r="O830" i="93"/>
  <c r="N817" i="93"/>
  <c r="N819" i="93" s="1"/>
  <c r="I51" i="73"/>
  <c r="H51" i="73"/>
  <c r="F53" i="73"/>
  <c r="I63" i="73"/>
  <c r="F67" i="73"/>
  <c r="H63" i="73"/>
  <c r="M1138" i="93"/>
  <c r="N1138" i="93"/>
  <c r="C986" i="93"/>
  <c r="N843" i="93"/>
  <c r="H56" i="66"/>
  <c r="H67" i="93"/>
  <c r="F483" i="93"/>
  <c r="E7" i="88"/>
  <c r="O867" i="93"/>
  <c r="M831" i="93"/>
  <c r="N841" i="93"/>
  <c r="O841" i="93" s="1"/>
  <c r="B972" i="93"/>
  <c r="B976" i="93" s="1"/>
  <c r="B971" i="93"/>
  <c r="I66" i="73"/>
  <c r="H66" i="73"/>
  <c r="M1149" i="93"/>
  <c r="K1154" i="93"/>
  <c r="N1149" i="93"/>
  <c r="N1154" i="93" s="1"/>
  <c r="K117" i="75"/>
  <c r="K119" i="75" s="1"/>
  <c r="O115" i="75"/>
  <c r="D10" i="86"/>
  <c r="C993" i="93"/>
  <c r="E10" i="86"/>
  <c r="J119" i="75"/>
  <c r="O117" i="75"/>
  <c r="F44" i="78" s="1"/>
  <c r="I1014" i="93"/>
  <c r="J58" i="74"/>
  <c r="I73" i="82"/>
  <c r="P413" i="93"/>
  <c r="P414" i="93"/>
  <c r="I423" i="93"/>
  <c r="J1938" i="93"/>
  <c r="J1939" i="93" s="1"/>
  <c r="M1938" i="93"/>
  <c r="M1939" i="93" s="1"/>
  <c r="I1138" i="93"/>
  <c r="H1138" i="93"/>
  <c r="M41" i="73"/>
  <c r="N41" i="73"/>
  <c r="K46" i="73"/>
  <c r="K834" i="93"/>
  <c r="L1954" i="93"/>
  <c r="L400" i="72"/>
  <c r="D8" i="88"/>
  <c r="E8" i="88" s="1"/>
  <c r="K60" i="75"/>
  <c r="K62" i="75" s="1"/>
  <c r="H8" i="88" s="1"/>
  <c r="I8" i="88" s="1"/>
  <c r="O849" i="93"/>
  <c r="I1145" i="93"/>
  <c r="H1145" i="93"/>
  <c r="N1160" i="93"/>
  <c r="M1160" i="93"/>
  <c r="I53" i="73"/>
  <c r="M50" i="73"/>
  <c r="N50" i="73"/>
  <c r="K53" i="73"/>
  <c r="P187" i="75"/>
  <c r="P188" i="75" s="1"/>
  <c r="P179" i="75" s="1"/>
  <c r="L1968" i="93"/>
  <c r="O188" i="75"/>
  <c r="P56" i="66"/>
  <c r="O187" i="75"/>
  <c r="L414" i="72"/>
  <c r="P67" i="93"/>
  <c r="N44" i="73"/>
  <c r="M44" i="73"/>
  <c r="C988" i="93"/>
  <c r="N827" i="93"/>
  <c r="M63" i="73"/>
  <c r="K67" i="73"/>
  <c r="N63" i="73"/>
  <c r="O864" i="93"/>
  <c r="O58" i="75"/>
  <c r="J837" i="93"/>
  <c r="O827" i="93"/>
  <c r="O826" i="93"/>
  <c r="J823" i="93"/>
  <c r="O823" i="93" s="1"/>
  <c r="I60" i="73"/>
  <c r="M55" i="73"/>
  <c r="N55" i="73"/>
  <c r="N60" i="73" s="1"/>
  <c r="K60" i="73"/>
  <c r="I1144" i="93"/>
  <c r="H1144" i="93"/>
  <c r="N45" i="73"/>
  <c r="M45" i="73"/>
  <c r="H55" i="66"/>
  <c r="H7" i="84" s="1"/>
  <c r="H66" i="93"/>
  <c r="O835" i="93"/>
  <c r="F1140" i="93"/>
  <c r="F1163" i="93" s="1"/>
  <c r="I1135" i="93"/>
  <c r="I1140" i="93" s="1"/>
  <c r="H1135" i="93"/>
  <c r="K40" i="84"/>
  <c r="D18" i="84"/>
  <c r="C38" i="84"/>
  <c r="H44" i="73"/>
  <c r="I44" i="73"/>
  <c r="O829" i="93"/>
  <c r="J831" i="93"/>
  <c r="H74" i="93"/>
  <c r="H73" i="93" s="1"/>
  <c r="H77" i="93" s="1"/>
  <c r="H79" i="93" s="1"/>
  <c r="H63" i="66"/>
  <c r="H62" i="66" s="1"/>
  <c r="H66" i="66" s="1"/>
  <c r="H68" i="66" s="1"/>
  <c r="M66" i="73"/>
  <c r="N66" i="73"/>
  <c r="M1144" i="93"/>
  <c r="N1144" i="93"/>
  <c r="M42" i="73"/>
  <c r="N42" i="73"/>
  <c r="M834" i="93"/>
  <c r="O19" i="86"/>
  <c r="O23" i="86" s="1"/>
  <c r="O25" i="86" s="1"/>
  <c r="O31" i="86" s="1"/>
  <c r="J62" i="75"/>
  <c r="O843" i="93"/>
  <c r="O825" i="93"/>
  <c r="J872" i="93"/>
  <c r="O870" i="93"/>
  <c r="O836" i="93"/>
  <c r="K14" i="74"/>
  <c r="B15" i="74"/>
  <c r="C74" i="74"/>
  <c r="H74" i="74"/>
  <c r="I74" i="74"/>
  <c r="C52" i="84"/>
  <c r="K74" i="74"/>
  <c r="G14" i="74"/>
  <c r="D102" i="74"/>
  <c r="B16" i="74"/>
  <c r="C54" i="84" s="1"/>
  <c r="I14" i="74"/>
  <c r="C44" i="74"/>
  <c r="E44" i="74"/>
  <c r="D14" i="74"/>
  <c r="E74" i="74"/>
  <c r="F102" i="74"/>
  <c r="C14" i="74"/>
  <c r="K44" i="74"/>
  <c r="H44" i="74"/>
  <c r="K5" i="74"/>
  <c r="D44" i="74"/>
  <c r="I44" i="74"/>
  <c r="F44" i="74"/>
  <c r="J44" i="74"/>
  <c r="F14" i="74"/>
  <c r="J14" i="74"/>
  <c r="F74" i="74"/>
  <c r="B74" i="74"/>
  <c r="J74" i="74"/>
  <c r="D74" i="74"/>
  <c r="B44" i="74"/>
  <c r="H14" i="74"/>
  <c r="E102" i="74"/>
  <c r="C102" i="74"/>
  <c r="E14" i="74"/>
  <c r="B102" i="74"/>
  <c r="G44" i="74"/>
  <c r="G74" i="74"/>
  <c r="J4" i="91"/>
  <c r="O821" i="93"/>
  <c r="N53" i="73" l="1"/>
  <c r="G970" i="93"/>
  <c r="G971" i="93"/>
  <c r="G972" i="93" s="1"/>
  <c r="G977" i="93"/>
  <c r="H969" i="93"/>
  <c r="G975" i="93"/>
  <c r="O119" i="75"/>
  <c r="J44" i="78" s="1"/>
  <c r="O831" i="93"/>
  <c r="O834" i="93"/>
  <c r="D986" i="93"/>
  <c r="D988" i="93"/>
  <c r="C81" i="84"/>
  <c r="C80" i="84"/>
  <c r="O60" i="75"/>
  <c r="O837" i="93"/>
  <c r="F972" i="93"/>
  <c r="F976" i="93" s="1"/>
  <c r="F992" i="93" s="1"/>
  <c r="B20" i="74"/>
  <c r="E976" i="93"/>
  <c r="E992" i="93" s="1"/>
  <c r="P927" i="93"/>
  <c r="P170" i="75"/>
  <c r="K7" i="74"/>
  <c r="N67" i="73"/>
  <c r="E13" i="88"/>
  <c r="I41" i="74"/>
  <c r="H997" i="93"/>
  <c r="P156" i="66"/>
  <c r="P157" i="66"/>
  <c r="J1599" i="93"/>
  <c r="F43" i="78"/>
  <c r="O157" i="66"/>
  <c r="K52" i="72"/>
  <c r="P168" i="93"/>
  <c r="L52" i="72"/>
  <c r="O168" i="93"/>
  <c r="K49" i="72"/>
  <c r="L49" i="72"/>
  <c r="P167" i="93"/>
  <c r="K48" i="72"/>
  <c r="J45" i="72"/>
  <c r="L48" i="72"/>
  <c r="B21" i="74"/>
  <c r="E172" i="90"/>
  <c r="E173" i="90" s="1"/>
  <c r="P180" i="75"/>
  <c r="P936" i="93"/>
  <c r="M180" i="75"/>
  <c r="C66" i="84"/>
  <c r="B977" i="93"/>
  <c r="P73" i="93"/>
  <c r="P75" i="93" s="1"/>
  <c r="P77" i="93" s="1"/>
  <c r="P82" i="93" s="1"/>
  <c r="P62" i="66"/>
  <c r="P64" i="66" s="1"/>
  <c r="P66" i="66" s="1"/>
  <c r="P71" i="66" s="1"/>
  <c r="D12" i="88"/>
  <c r="F479" i="93"/>
  <c r="E994" i="93"/>
  <c r="F38" i="74"/>
  <c r="G11" i="86" s="1"/>
  <c r="I46" i="73"/>
  <c r="C16" i="74"/>
  <c r="C20" i="74" s="1"/>
  <c r="E46" i="74"/>
  <c r="E52" i="84"/>
  <c r="G52" i="84"/>
  <c r="K52" i="84"/>
  <c r="I52" i="84"/>
  <c r="F45" i="74"/>
  <c r="C75" i="74"/>
  <c r="D15" i="74"/>
  <c r="I75" i="74"/>
  <c r="J45" i="74"/>
  <c r="K45" i="74"/>
  <c r="K46" i="74" s="1"/>
  <c r="C103" i="74"/>
  <c r="E45" i="74"/>
  <c r="H75" i="74"/>
  <c r="D75" i="74"/>
  <c r="K15" i="74"/>
  <c r="K16" i="74" s="1"/>
  <c r="K20" i="74" s="1"/>
  <c r="C53" i="84"/>
  <c r="C56" i="84" s="1"/>
  <c r="C64" i="84" s="1"/>
  <c r="G15" i="74"/>
  <c r="G16" i="74" s="1"/>
  <c r="G20" i="74" s="1"/>
  <c r="D45" i="74"/>
  <c r="G75" i="74"/>
  <c r="C15" i="74"/>
  <c r="I45" i="74"/>
  <c r="G45" i="74"/>
  <c r="F15" i="74"/>
  <c r="F16" i="74" s="1"/>
  <c r="E103" i="74"/>
  <c r="B103" i="74"/>
  <c r="K75" i="74"/>
  <c r="K76" i="74" s="1"/>
  <c r="J75" i="74"/>
  <c r="J76" i="74" s="1"/>
  <c r="B45" i="74"/>
  <c r="B46" i="74" s="1"/>
  <c r="B50" i="74" s="1"/>
  <c r="F75" i="74"/>
  <c r="F76" i="74" s="1"/>
  <c r="F80" i="74" s="1"/>
  <c r="I15" i="74"/>
  <c r="C45" i="74"/>
  <c r="F103" i="74"/>
  <c r="F104" i="74" s="1"/>
  <c r="D103" i="74"/>
  <c r="J15" i="74"/>
  <c r="J16" i="74" s="1"/>
  <c r="H45" i="74"/>
  <c r="H46" i="74" s="1"/>
  <c r="H50" i="74" s="1"/>
  <c r="E75" i="74"/>
  <c r="E76" i="74" s="1"/>
  <c r="E15" i="74"/>
  <c r="H15" i="74"/>
  <c r="B75" i="74"/>
  <c r="B76" i="74" s="1"/>
  <c r="B80" i="74" s="1"/>
  <c r="O872" i="93"/>
  <c r="J874" i="93"/>
  <c r="O62" i="75"/>
  <c r="H7" i="88"/>
  <c r="L1952" i="93"/>
  <c r="L1953" i="93" s="1"/>
  <c r="M1952" i="93" s="1"/>
  <c r="L398" i="72"/>
  <c r="L399" i="72" s="1"/>
  <c r="M398" i="72" s="1"/>
  <c r="O397" i="72" s="1"/>
  <c r="E13" i="84"/>
  <c r="P590" i="93"/>
  <c r="P591" i="93" s="1"/>
  <c r="P593" i="93" s="1"/>
  <c r="J590" i="93"/>
  <c r="J591" i="93" s="1"/>
  <c r="J593" i="93" s="1"/>
  <c r="P154" i="78"/>
  <c r="P155" i="78" s="1"/>
  <c r="P157" i="78" s="1"/>
  <c r="M590" i="93"/>
  <c r="M591" i="93" s="1"/>
  <c r="M593" i="93" s="1"/>
  <c r="M154" i="78"/>
  <c r="M155" i="78" s="1"/>
  <c r="M157" i="78" s="1"/>
  <c r="J154" i="78"/>
  <c r="J155" i="78" s="1"/>
  <c r="K69" i="73"/>
  <c r="J1014" i="93"/>
  <c r="K58" i="74"/>
  <c r="J73" i="82"/>
  <c r="J480" i="93"/>
  <c r="I67" i="73"/>
  <c r="O815" i="93"/>
  <c r="J817" i="93"/>
  <c r="G76" i="74"/>
  <c r="G80" i="74" s="1"/>
  <c r="C104" i="74"/>
  <c r="C108" i="74" s="1"/>
  <c r="F46" i="74"/>
  <c r="C46" i="74"/>
  <c r="C50" i="74"/>
  <c r="D104" i="74"/>
  <c r="D108" i="74" s="1"/>
  <c r="O944" i="93"/>
  <c r="O945" i="93"/>
  <c r="P944" i="93"/>
  <c r="P945" i="93" s="1"/>
  <c r="E26" i="89"/>
  <c r="E47" i="92"/>
  <c r="N46" i="73"/>
  <c r="M69" i="73" s="1"/>
  <c r="M1163" i="93" s="1"/>
  <c r="P415" i="93"/>
  <c r="F480" i="93"/>
  <c r="P52" i="68"/>
  <c r="K1163" i="93"/>
  <c r="F69" i="73"/>
  <c r="E993" i="93"/>
  <c r="F37" i="74"/>
  <c r="G10" i="86"/>
  <c r="H970" i="93" l="1"/>
  <c r="I969" i="93"/>
  <c r="H971" i="93"/>
  <c r="H977" i="93"/>
  <c r="H975" i="93"/>
  <c r="F978" i="93"/>
  <c r="F108" i="74"/>
  <c r="E50" i="74"/>
  <c r="G976" i="93"/>
  <c r="G992" i="93" s="1"/>
  <c r="I76" i="74"/>
  <c r="I80" i="74" s="1"/>
  <c r="E978" i="93"/>
  <c r="D80" i="74"/>
  <c r="H16" i="85"/>
  <c r="K18" i="88"/>
  <c r="H16" i="74"/>
  <c r="P937" i="93"/>
  <c r="M937" i="93"/>
  <c r="F50" i="74"/>
  <c r="K73" i="82"/>
  <c r="K1014" i="93"/>
  <c r="B88" i="74"/>
  <c r="I7" i="88"/>
  <c r="I13" i="88" s="1"/>
  <c r="H12" i="88"/>
  <c r="D34" i="90" s="1"/>
  <c r="H20" i="74"/>
  <c r="E16" i="74"/>
  <c r="H69" i="73"/>
  <c r="K13" i="84"/>
  <c r="G570" i="93"/>
  <c r="G134" i="78"/>
  <c r="P43" i="78"/>
  <c r="P479" i="93"/>
  <c r="B51" i="74"/>
  <c r="F33" i="86" s="1"/>
  <c r="I81" i="74"/>
  <c r="E109" i="74"/>
  <c r="K81" i="74"/>
  <c r="I51" i="74"/>
  <c r="F53" i="86" s="1"/>
  <c r="D21" i="74"/>
  <c r="E13" i="86" s="1"/>
  <c r="C21" i="74"/>
  <c r="D13" i="86" s="1"/>
  <c r="H21" i="74"/>
  <c r="I13" i="86" s="1"/>
  <c r="F109" i="74"/>
  <c r="G51" i="74"/>
  <c r="D53" i="86" s="1"/>
  <c r="G21" i="74"/>
  <c r="H13" i="86" s="1"/>
  <c r="E51" i="74"/>
  <c r="I33" i="86" s="1"/>
  <c r="J81" i="74"/>
  <c r="K51" i="74"/>
  <c r="H53" i="86" s="1"/>
  <c r="C13" i="86"/>
  <c r="G81" i="74"/>
  <c r="J21" i="74"/>
  <c r="D33" i="86" s="1"/>
  <c r="E21" i="74"/>
  <c r="F13" i="86" s="1"/>
  <c r="F21" i="74"/>
  <c r="G13" i="86" s="1"/>
  <c r="F81" i="74"/>
  <c r="H81" i="74"/>
  <c r="D109" i="74"/>
  <c r="K21" i="74"/>
  <c r="E33" i="86" s="1"/>
  <c r="B81" i="74"/>
  <c r="C81" i="74"/>
  <c r="D51" i="74"/>
  <c r="H33" i="86" s="1"/>
  <c r="C109" i="74"/>
  <c r="B109" i="74"/>
  <c r="D81" i="74"/>
  <c r="F51" i="74"/>
  <c r="C53" i="86" s="1"/>
  <c r="E81" i="74"/>
  <c r="J51" i="74"/>
  <c r="G53" i="86" s="1"/>
  <c r="I21" i="74"/>
  <c r="C33" i="86" s="1"/>
  <c r="H51" i="74"/>
  <c r="E53" i="86" s="1"/>
  <c r="C51" i="74"/>
  <c r="G33" i="86" s="1"/>
  <c r="L1606" i="93"/>
  <c r="P52" i="72"/>
  <c r="K80" i="74"/>
  <c r="D16" i="74"/>
  <c r="D20" i="74" s="1"/>
  <c r="D46" i="74"/>
  <c r="D50" i="74" s="1"/>
  <c r="F20" i="74"/>
  <c r="B104" i="74"/>
  <c r="B108" i="74" s="1"/>
  <c r="I997" i="93"/>
  <c r="J41" i="74"/>
  <c r="H76" i="74"/>
  <c r="H80" i="74" s="1"/>
  <c r="I16" i="74"/>
  <c r="I46" i="74"/>
  <c r="I50" i="74" s="1"/>
  <c r="J20" i="74"/>
  <c r="G46" i="74"/>
  <c r="G50" i="74" s="1"/>
  <c r="L1603" i="93"/>
  <c r="P49" i="72"/>
  <c r="P1603" i="93" s="1"/>
  <c r="N172" i="75"/>
  <c r="N171" i="75"/>
  <c r="P175" i="75"/>
  <c r="C68" i="84"/>
  <c r="G37" i="74"/>
  <c r="H10" i="86" s="1"/>
  <c r="F993" i="93"/>
  <c r="O1951" i="93"/>
  <c r="J876" i="93"/>
  <c r="O876" i="93" s="1"/>
  <c r="O874" i="93"/>
  <c r="J46" i="74"/>
  <c r="J50" i="74" s="1"/>
  <c r="K1603" i="93"/>
  <c r="O49" i="72"/>
  <c r="O1603" i="93" s="1"/>
  <c r="O52" i="72"/>
  <c r="K1606" i="93"/>
  <c r="C76" i="74"/>
  <c r="C80" i="74" s="1"/>
  <c r="K50" i="74"/>
  <c r="J80" i="74"/>
  <c r="E104" i="74"/>
  <c r="E108" i="74" s="1"/>
  <c r="I20" i="74"/>
  <c r="E80" i="74"/>
  <c r="P932" i="93"/>
  <c r="J181" i="75"/>
  <c r="F124" i="78"/>
  <c r="N94" i="93"/>
  <c r="P155" i="72"/>
  <c r="D134" i="78"/>
  <c r="M408" i="72"/>
  <c r="E514" i="93"/>
  <c r="O1975" i="93"/>
  <c r="O1976" i="93" s="1"/>
  <c r="N86" i="66"/>
  <c r="J1836" i="93"/>
  <c r="L1836" i="93" s="1"/>
  <c r="M301" i="73"/>
  <c r="J282" i="72"/>
  <c r="L282" i="72" s="1"/>
  <c r="E78" i="78"/>
  <c r="J180" i="75"/>
  <c r="E483" i="93"/>
  <c r="M1962" i="93"/>
  <c r="J43" i="78"/>
  <c r="M305" i="73"/>
  <c r="J182" i="75"/>
  <c r="O1980" i="93"/>
  <c r="O1981" i="93" s="1"/>
  <c r="O421" i="72"/>
  <c r="O422" i="72" s="1"/>
  <c r="L397" i="72"/>
  <c r="O155" i="72"/>
  <c r="O426" i="72"/>
  <c r="O427" i="72" s="1"/>
  <c r="D570" i="93"/>
  <c r="P177" i="75"/>
  <c r="L1951" i="93"/>
  <c r="F560" i="93"/>
  <c r="N97" i="93"/>
  <c r="E47" i="78"/>
  <c r="C13" i="84"/>
  <c r="N83" i="66"/>
  <c r="J479" i="93"/>
  <c r="G38" i="74"/>
  <c r="F994" i="93"/>
  <c r="L1602" i="93"/>
  <c r="P48" i="72"/>
  <c r="D76" i="74"/>
  <c r="J819" i="93"/>
  <c r="O819" i="93" s="1"/>
  <c r="N928" i="93" s="1"/>
  <c r="O817" i="93"/>
  <c r="J157" i="78"/>
  <c r="J158" i="78" s="1"/>
  <c r="G15" i="82"/>
  <c r="G19" i="82" s="1"/>
  <c r="J594" i="93"/>
  <c r="E53" i="84"/>
  <c r="E54" i="84" s="1"/>
  <c r="K53" i="84"/>
  <c r="K54" i="84" s="1"/>
  <c r="G53" i="84"/>
  <c r="G54" i="84" s="1"/>
  <c r="I53" i="84"/>
  <c r="I54" i="84" s="1"/>
  <c r="K66" i="84"/>
  <c r="G66" i="84"/>
  <c r="E66" i="84"/>
  <c r="I66" i="84"/>
  <c r="O48" i="72"/>
  <c r="K1602" i="93"/>
  <c r="E987" i="93" l="1"/>
  <c r="E991" i="93"/>
  <c r="E986" i="93"/>
  <c r="E988" i="93"/>
  <c r="E56" i="84"/>
  <c r="E64" i="84" s="1"/>
  <c r="G978" i="93"/>
  <c r="I970" i="93"/>
  <c r="J969" i="93"/>
  <c r="I975" i="93"/>
  <c r="I977" i="93"/>
  <c r="I971" i="93"/>
  <c r="F988" i="93"/>
  <c r="F991" i="93"/>
  <c r="F987" i="93"/>
  <c r="F986" i="93"/>
  <c r="H972" i="93"/>
  <c r="H976" i="93"/>
  <c r="H992" i="93" s="1"/>
  <c r="H38" i="74"/>
  <c r="G994" i="93"/>
  <c r="K56" i="84"/>
  <c r="K64" i="84" s="1"/>
  <c r="O1602" i="93"/>
  <c r="O47" i="72"/>
  <c r="H11" i="86"/>
  <c r="O282" i="72"/>
  <c r="P282" i="72"/>
  <c r="P153" i="72"/>
  <c r="P1707" i="93" s="1"/>
  <c r="P1709" i="93"/>
  <c r="O51" i="72"/>
  <c r="O1605" i="93" s="1"/>
  <c r="O1606" i="93"/>
  <c r="G68" i="84"/>
  <c r="I68" i="84"/>
  <c r="E68" i="84"/>
  <c r="E70" i="84" s="1"/>
  <c r="K68" i="84"/>
  <c r="G56" i="84"/>
  <c r="G64" i="84" s="1"/>
  <c r="G70" i="84" s="1"/>
  <c r="P63" i="73"/>
  <c r="H1163" i="93"/>
  <c r="O1709" i="93"/>
  <c r="O153" i="72"/>
  <c r="L301" i="73"/>
  <c r="M1395" i="93"/>
  <c r="L1395" i="93" s="1"/>
  <c r="I56" i="84"/>
  <c r="I64" i="84" s="1"/>
  <c r="I70" i="84" s="1"/>
  <c r="M175" i="75"/>
  <c r="L305" i="73"/>
  <c r="M1399" i="93"/>
  <c r="L1399" i="93" s="1"/>
  <c r="P405" i="72"/>
  <c r="O405" i="72"/>
  <c r="P947" i="93"/>
  <c r="O933" i="93"/>
  <c r="M932" i="93"/>
  <c r="P1606" i="93"/>
  <c r="P51" i="72"/>
  <c r="P1605" i="93" s="1"/>
  <c r="P1602" i="93"/>
  <c r="P47" i="72"/>
  <c r="K19" i="88"/>
  <c r="I39" i="88" s="1"/>
  <c r="K38" i="88" s="1"/>
  <c r="D16" i="83"/>
  <c r="F16" i="85"/>
  <c r="F52" i="89"/>
  <c r="H19" i="84"/>
  <c r="C19" i="84"/>
  <c r="P190" i="75"/>
  <c r="F557" i="93"/>
  <c r="F121" i="78"/>
  <c r="F558" i="93"/>
  <c r="B975" i="93"/>
  <c r="O176" i="75"/>
  <c r="B19" i="74"/>
  <c r="F122" i="78"/>
  <c r="K41" i="74"/>
  <c r="J997" i="93"/>
  <c r="C88" i="74"/>
  <c r="B1044" i="93"/>
  <c r="J938" i="93"/>
  <c r="J939" i="93"/>
  <c r="J937" i="93"/>
  <c r="N929" i="93"/>
  <c r="G993" i="93"/>
  <c r="H37" i="74"/>
  <c r="H20" i="84"/>
  <c r="C20" i="84"/>
  <c r="F54" i="89"/>
  <c r="D33" i="90" s="1"/>
  <c r="C70" i="84"/>
  <c r="E20" i="74"/>
  <c r="H978" i="93" l="1"/>
  <c r="I972" i="93"/>
  <c r="I976" i="93" s="1"/>
  <c r="I992" i="93" s="1"/>
  <c r="K21" i="88"/>
  <c r="K30" i="88" s="1"/>
  <c r="K34" i="88" s="1"/>
  <c r="G986" i="93"/>
  <c r="G988" i="93"/>
  <c r="G991" i="93"/>
  <c r="G987" i="93"/>
  <c r="J971" i="93"/>
  <c r="K969" i="93"/>
  <c r="J975" i="93"/>
  <c r="J970" i="93"/>
  <c r="J977" i="93"/>
  <c r="E72" i="84"/>
  <c r="E76" i="84"/>
  <c r="E73" i="84" s="1"/>
  <c r="I37" i="74"/>
  <c r="H993" i="93"/>
  <c r="C1044" i="93"/>
  <c r="D88" i="74"/>
  <c r="I72" i="84"/>
  <c r="I76" i="84"/>
  <c r="I73" i="84" s="1"/>
  <c r="P270" i="72"/>
  <c r="P1824" i="93" s="1"/>
  <c r="P1836" i="93"/>
  <c r="C76" i="84"/>
  <c r="C73" i="84" s="1"/>
  <c r="C72" i="84"/>
  <c r="J79" i="74"/>
  <c r="H49" i="74"/>
  <c r="F49" i="74"/>
  <c r="B107" i="74"/>
  <c r="B49" i="74"/>
  <c r="H79" i="74"/>
  <c r="J49" i="74"/>
  <c r="D49" i="74"/>
  <c r="G49" i="74"/>
  <c r="D107" i="74"/>
  <c r="E79" i="74"/>
  <c r="I19" i="74"/>
  <c r="D19" i="74"/>
  <c r="K79" i="74"/>
  <c r="K19" i="74"/>
  <c r="C107" i="74"/>
  <c r="E49" i="74"/>
  <c r="J19" i="74"/>
  <c r="F19" i="74"/>
  <c r="H19" i="74"/>
  <c r="K49" i="74"/>
  <c r="D79" i="74"/>
  <c r="E19" i="74"/>
  <c r="E22" i="74" s="1"/>
  <c r="G79" i="74"/>
  <c r="F79" i="74"/>
  <c r="B79" i="74"/>
  <c r="E107" i="74"/>
  <c r="C49" i="74"/>
  <c r="I79" i="74"/>
  <c r="F107" i="74"/>
  <c r="I49" i="74"/>
  <c r="C19" i="74"/>
  <c r="C79" i="74"/>
  <c r="G19" i="74"/>
  <c r="B22" i="74"/>
  <c r="B36" i="74"/>
  <c r="D35" i="90"/>
  <c r="I64" i="92" s="1"/>
  <c r="D55" i="92"/>
  <c r="I10" i="86"/>
  <c r="K997" i="93"/>
  <c r="B71" i="74"/>
  <c r="B992" i="93"/>
  <c r="B978" i="93"/>
  <c r="P1601" i="93"/>
  <c r="P43" i="72"/>
  <c r="O1707" i="93"/>
  <c r="E32" i="72"/>
  <c r="E1586" i="93" s="1"/>
  <c r="K13" i="88"/>
  <c r="P1157" i="93"/>
  <c r="J598" i="93"/>
  <c r="J162" i="78"/>
  <c r="J163" i="78" s="1"/>
  <c r="G72" i="84"/>
  <c r="G76" i="84"/>
  <c r="G73" i="84" s="1"/>
  <c r="O1836" i="93"/>
  <c r="O270" i="72"/>
  <c r="O1824" i="93" s="1"/>
  <c r="H994" i="93"/>
  <c r="I38" i="74"/>
  <c r="P1959" i="93"/>
  <c r="P396" i="72"/>
  <c r="P1950" i="93" s="1"/>
  <c r="O43" i="72"/>
  <c r="O1601" i="93"/>
  <c r="O1959" i="93"/>
  <c r="O396" i="72"/>
  <c r="K70" i="84"/>
  <c r="I11" i="86"/>
  <c r="J972" i="93" l="1"/>
  <c r="J976" i="93" s="1"/>
  <c r="J992" i="93" s="1"/>
  <c r="K977" i="93"/>
  <c r="K971" i="93"/>
  <c r="B999" i="93"/>
  <c r="K975" i="93"/>
  <c r="K970" i="93"/>
  <c r="H986" i="93"/>
  <c r="H991" i="93"/>
  <c r="H987" i="93"/>
  <c r="H988" i="93"/>
  <c r="I978" i="93"/>
  <c r="E36" i="74"/>
  <c r="C71" i="74"/>
  <c r="B1027" i="93"/>
  <c r="I82" i="74"/>
  <c r="I95" i="74"/>
  <c r="E66" i="74"/>
  <c r="E52" i="74"/>
  <c r="D36" i="74"/>
  <c r="D22" i="74"/>
  <c r="B52" i="74"/>
  <c r="B66" i="74"/>
  <c r="C36" i="74"/>
  <c r="C22" i="74"/>
  <c r="C52" i="74"/>
  <c r="C66" i="74"/>
  <c r="G82" i="74"/>
  <c r="G95" i="74"/>
  <c r="H22" i="74"/>
  <c r="H36" i="74"/>
  <c r="C110" i="74"/>
  <c r="C123" i="74"/>
  <c r="I22" i="74"/>
  <c r="I36" i="74"/>
  <c r="D66" i="74"/>
  <c r="D52" i="74"/>
  <c r="B110" i="74"/>
  <c r="B123" i="74"/>
  <c r="I993" i="93"/>
  <c r="J37" i="74"/>
  <c r="I994" i="93"/>
  <c r="D31" i="86"/>
  <c r="J38" i="74"/>
  <c r="F95" i="74"/>
  <c r="F82" i="74"/>
  <c r="K72" i="84"/>
  <c r="K76" i="84"/>
  <c r="K73" i="84" s="1"/>
  <c r="G162" i="78"/>
  <c r="J599" i="93"/>
  <c r="J165" i="78"/>
  <c r="J167" i="78" s="1"/>
  <c r="B991" i="93"/>
  <c r="B986" i="93"/>
  <c r="B987" i="93"/>
  <c r="B988" i="93"/>
  <c r="B31" i="74"/>
  <c r="B44" i="82"/>
  <c r="B35" i="74"/>
  <c r="B30" i="74"/>
  <c r="B32" i="74"/>
  <c r="I66" i="74"/>
  <c r="I52" i="74"/>
  <c r="E110" i="74"/>
  <c r="E123" i="74"/>
  <c r="E32" i="74"/>
  <c r="E44" i="82"/>
  <c r="E35" i="74"/>
  <c r="E30" i="74"/>
  <c r="F9" i="86" s="1"/>
  <c r="E31" i="74"/>
  <c r="F22" i="74"/>
  <c r="F36" i="74"/>
  <c r="K22" i="74"/>
  <c r="K36" i="74"/>
  <c r="E82" i="74"/>
  <c r="E95" i="74"/>
  <c r="J52" i="74"/>
  <c r="J66" i="74"/>
  <c r="F52" i="74"/>
  <c r="F66" i="74"/>
  <c r="E88" i="74"/>
  <c r="D1044" i="93"/>
  <c r="C30" i="86"/>
  <c r="R43" i="72"/>
  <c r="O1597" i="93"/>
  <c r="O441" i="72"/>
  <c r="P1597" i="93"/>
  <c r="P1995" i="93" s="1"/>
  <c r="P441" i="72"/>
  <c r="C82" i="74"/>
  <c r="C95" i="74"/>
  <c r="K52" i="74"/>
  <c r="K66" i="74"/>
  <c r="G66" i="74"/>
  <c r="G52" i="74"/>
  <c r="J82" i="74"/>
  <c r="J95" i="74"/>
  <c r="O1950" i="93"/>
  <c r="E40" i="72"/>
  <c r="E1594" i="93" s="1"/>
  <c r="C31" i="86"/>
  <c r="G36" i="74"/>
  <c r="G22" i="74"/>
  <c r="F110" i="74"/>
  <c r="F123" i="74"/>
  <c r="B82" i="74"/>
  <c r="B95" i="74"/>
  <c r="D95" i="74"/>
  <c r="D82" i="74"/>
  <c r="J22" i="74"/>
  <c r="J36" i="74"/>
  <c r="K82" i="74"/>
  <c r="K95" i="74"/>
  <c r="D123" i="74"/>
  <c r="D110" i="74"/>
  <c r="H82" i="74"/>
  <c r="H95" i="74"/>
  <c r="H66" i="74"/>
  <c r="H52" i="74"/>
  <c r="B1005" i="93" l="1"/>
  <c r="B1007" i="93"/>
  <c r="C999" i="93"/>
  <c r="B1000" i="93"/>
  <c r="B1001" i="93"/>
  <c r="O6" i="72"/>
  <c r="R1995" i="93"/>
  <c r="I991" i="93"/>
  <c r="I986" i="93"/>
  <c r="I988" i="93"/>
  <c r="I987" i="93"/>
  <c r="K972" i="93"/>
  <c r="K976" i="93"/>
  <c r="K992" i="93" s="1"/>
  <c r="K978" i="93"/>
  <c r="J978" i="93"/>
  <c r="G30" i="74"/>
  <c r="H9" i="86" s="1"/>
  <c r="G35" i="74"/>
  <c r="G32" i="74"/>
  <c r="G31" i="74"/>
  <c r="G44" i="82"/>
  <c r="C91" i="74"/>
  <c r="C89" i="74"/>
  <c r="C94" i="74"/>
  <c r="C90" i="74"/>
  <c r="F17" i="86"/>
  <c r="F18" i="86" s="1"/>
  <c r="F20" i="86" s="1"/>
  <c r="F24" i="86" s="1"/>
  <c r="K9" i="86" s="1"/>
  <c r="C1027" i="93"/>
  <c r="D71" i="74"/>
  <c r="J44" i="82"/>
  <c r="J30" i="74"/>
  <c r="D29" i="86" s="1"/>
  <c r="J32" i="74"/>
  <c r="J35" i="74"/>
  <c r="J31" i="74"/>
  <c r="B94" i="74"/>
  <c r="B91" i="74"/>
  <c r="B90" i="74"/>
  <c r="B89" i="74"/>
  <c r="P6" i="72"/>
  <c r="P444" i="72"/>
  <c r="E122" i="74"/>
  <c r="E119" i="74"/>
  <c r="E118" i="74"/>
  <c r="C9" i="86"/>
  <c r="S19" i="74"/>
  <c r="B15" i="82"/>
  <c r="J169" i="78"/>
  <c r="J171" i="78" s="1"/>
  <c r="F90" i="74"/>
  <c r="F94" i="74"/>
  <c r="F91" i="74"/>
  <c r="C118" i="74"/>
  <c r="C122" i="74"/>
  <c r="C119" i="74"/>
  <c r="G91" i="74"/>
  <c r="G90" i="74"/>
  <c r="G94" i="74"/>
  <c r="D32" i="74"/>
  <c r="D44" i="82"/>
  <c r="D30" i="74"/>
  <c r="E9" i="86" s="1"/>
  <c r="D35" i="74"/>
  <c r="D31" i="74"/>
  <c r="D119" i="74"/>
  <c r="D118" i="74"/>
  <c r="D122" i="74"/>
  <c r="E1044" i="93"/>
  <c r="F88" i="74"/>
  <c r="F89" i="74" s="1"/>
  <c r="K31" i="74"/>
  <c r="K44" i="82"/>
  <c r="K30" i="74"/>
  <c r="E29" i="86" s="1"/>
  <c r="K35" i="74"/>
  <c r="K32" i="74"/>
  <c r="C30" i="74"/>
  <c r="D9" i="86" s="1"/>
  <c r="C44" i="82"/>
  <c r="C32" i="74"/>
  <c r="C31" i="74"/>
  <c r="C35" i="74"/>
  <c r="D89" i="74"/>
  <c r="D90" i="74"/>
  <c r="D91" i="74"/>
  <c r="D94" i="74"/>
  <c r="J90" i="74"/>
  <c r="J91" i="74"/>
  <c r="J94" i="74"/>
  <c r="K65" i="74"/>
  <c r="K61" i="74"/>
  <c r="K64" i="82"/>
  <c r="K60" i="74"/>
  <c r="K62" i="74"/>
  <c r="P1998" i="93"/>
  <c r="P1560" i="93"/>
  <c r="F64" i="82"/>
  <c r="F61" i="74"/>
  <c r="F62" i="74"/>
  <c r="F60" i="74"/>
  <c r="C49" i="86" s="1"/>
  <c r="F65" i="74"/>
  <c r="E89" i="74"/>
  <c r="E91" i="74"/>
  <c r="E94" i="74"/>
  <c r="E90" i="74"/>
  <c r="F31" i="74"/>
  <c r="F32" i="74"/>
  <c r="F30" i="74"/>
  <c r="G9" i="86" s="1"/>
  <c r="F35" i="74"/>
  <c r="F44" i="82"/>
  <c r="E51" i="82"/>
  <c r="E46" i="82"/>
  <c r="I60" i="74"/>
  <c r="I61" i="74"/>
  <c r="I62" i="74"/>
  <c r="I64" i="82"/>
  <c r="I65" i="74"/>
  <c r="J601" i="93"/>
  <c r="J603" i="93" s="1"/>
  <c r="J605" i="93" s="1"/>
  <c r="J607" i="93" s="1"/>
  <c r="G598" i="93"/>
  <c r="J993" i="93"/>
  <c r="K37" i="74"/>
  <c r="E30" i="86" s="1"/>
  <c r="I91" i="74"/>
  <c r="I94" i="74"/>
  <c r="I90" i="74"/>
  <c r="H60" i="74"/>
  <c r="H61" i="74"/>
  <c r="H62" i="74"/>
  <c r="H64" i="82"/>
  <c r="H65" i="74"/>
  <c r="R1597" i="93"/>
  <c r="O1995" i="93"/>
  <c r="O1560" i="93" s="1"/>
  <c r="J62" i="74"/>
  <c r="J64" i="82"/>
  <c r="J61" i="74"/>
  <c r="J65" i="74"/>
  <c r="J60" i="74"/>
  <c r="D62" i="74"/>
  <c r="D64" i="82"/>
  <c r="D60" i="74"/>
  <c r="H29" i="86" s="1"/>
  <c r="D61" i="74"/>
  <c r="D65" i="74"/>
  <c r="B60" i="74"/>
  <c r="B64" i="82"/>
  <c r="B62" i="74"/>
  <c r="B61" i="74"/>
  <c r="B65" i="74"/>
  <c r="H90" i="74"/>
  <c r="H91" i="74"/>
  <c r="H94" i="74"/>
  <c r="K91" i="74"/>
  <c r="K94" i="74"/>
  <c r="K90" i="74"/>
  <c r="F119" i="74"/>
  <c r="F118" i="74"/>
  <c r="F122" i="74"/>
  <c r="G61" i="74"/>
  <c r="G60" i="74"/>
  <c r="G64" i="82"/>
  <c r="G65" i="74"/>
  <c r="G62" i="74"/>
  <c r="B46" i="82"/>
  <c r="B51" i="82"/>
  <c r="K38" i="74"/>
  <c r="E31" i="86" s="1"/>
  <c r="J994" i="93"/>
  <c r="D30" i="86"/>
  <c r="B119" i="74"/>
  <c r="B122" i="74"/>
  <c r="B118" i="74"/>
  <c r="I30" i="74"/>
  <c r="C29" i="86" s="1"/>
  <c r="I44" i="82"/>
  <c r="I35" i="74"/>
  <c r="I31" i="74"/>
  <c r="I32" i="74"/>
  <c r="H30" i="74"/>
  <c r="I9" i="86" s="1"/>
  <c r="H32" i="74"/>
  <c r="H44" i="82"/>
  <c r="H31" i="74"/>
  <c r="H35" i="74"/>
  <c r="C62" i="74"/>
  <c r="C61" i="74"/>
  <c r="C65" i="74"/>
  <c r="C60" i="74"/>
  <c r="G29" i="86" s="1"/>
  <c r="C64" i="82"/>
  <c r="E64" i="82"/>
  <c r="E60" i="74"/>
  <c r="I29" i="86" s="1"/>
  <c r="E62" i="74"/>
  <c r="E61" i="74"/>
  <c r="E65" i="74"/>
  <c r="S22" i="74" l="1"/>
  <c r="B1002" i="93"/>
  <c r="B1006" i="93"/>
  <c r="B1022" i="93" s="1"/>
  <c r="S23" i="74"/>
  <c r="C1005" i="93"/>
  <c r="C1001" i="93"/>
  <c r="D999" i="93"/>
  <c r="C1000" i="93"/>
  <c r="C1007" i="93"/>
  <c r="K988" i="93"/>
  <c r="K986" i="93"/>
  <c r="K987" i="93"/>
  <c r="K991" i="93"/>
  <c r="J987" i="93"/>
  <c r="J991" i="93"/>
  <c r="J986" i="93"/>
  <c r="J988" i="93"/>
  <c r="E37" i="86"/>
  <c r="E38" i="86" s="1"/>
  <c r="E40" i="86" s="1"/>
  <c r="E44" i="86" s="1"/>
  <c r="K15" i="86" s="1"/>
  <c r="S30" i="74"/>
  <c r="H17" i="86"/>
  <c r="H18" i="86" s="1"/>
  <c r="H20" i="86" s="1"/>
  <c r="H24" i="86" s="1"/>
  <c r="K11" i="86" s="1"/>
  <c r="C37" i="86"/>
  <c r="C38" i="86" s="1"/>
  <c r="C40" i="86" s="1"/>
  <c r="C44" i="86" s="1"/>
  <c r="K13" i="86" s="1"/>
  <c r="K994" i="93"/>
  <c r="B68" i="74"/>
  <c r="F31" i="86" s="1"/>
  <c r="S29" i="74"/>
  <c r="F29" i="86"/>
  <c r="D66" i="82"/>
  <c r="D71" i="82"/>
  <c r="K993" i="93"/>
  <c r="B67" i="74"/>
  <c r="F71" i="82"/>
  <c r="F66" i="82"/>
  <c r="D17" i="86"/>
  <c r="D18" i="86" s="1"/>
  <c r="D20" i="86" s="1"/>
  <c r="D24" i="86" s="1"/>
  <c r="K7" i="86" s="1"/>
  <c r="K51" i="82"/>
  <c r="K46" i="82"/>
  <c r="S31" i="74"/>
  <c r="S37" i="74"/>
  <c r="S26" i="74"/>
  <c r="S25" i="74"/>
  <c r="S20" i="74"/>
  <c r="I17" i="86"/>
  <c r="I18" i="86" s="1"/>
  <c r="I20" i="86" s="1"/>
  <c r="I24" i="86" s="1"/>
  <c r="K12" i="86" s="1"/>
  <c r="I46" i="82"/>
  <c r="I51" i="82"/>
  <c r="B71" i="82"/>
  <c r="B66" i="82"/>
  <c r="F46" i="82"/>
  <c r="F51" i="82"/>
  <c r="E71" i="74"/>
  <c r="D1027" i="93"/>
  <c r="H51" i="82"/>
  <c r="H46" i="82"/>
  <c r="G66" i="82"/>
  <c r="G71" i="82"/>
  <c r="J71" i="82"/>
  <c r="J66" i="82"/>
  <c r="I71" i="82"/>
  <c r="I66" i="82"/>
  <c r="G17" i="86"/>
  <c r="G18" i="86" s="1"/>
  <c r="G20" i="86" s="1"/>
  <c r="G24" i="86" s="1"/>
  <c r="K10" i="86" s="1"/>
  <c r="K66" i="82"/>
  <c r="K71" i="82"/>
  <c r="S21" i="74"/>
  <c r="S34" i="74"/>
  <c r="S35" i="74"/>
  <c r="S38" i="74"/>
  <c r="S32" i="74"/>
  <c r="D37" i="86"/>
  <c r="D38" i="86" s="1"/>
  <c r="D40" i="86" s="1"/>
  <c r="D44" i="86" s="1"/>
  <c r="K14" i="86" s="1"/>
  <c r="J611" i="93"/>
  <c r="E535" i="93" s="1"/>
  <c r="J535" i="93" s="1"/>
  <c r="M609" i="93"/>
  <c r="C51" i="82"/>
  <c r="C46" i="82"/>
  <c r="D51" i="82"/>
  <c r="D46" i="82"/>
  <c r="S33" i="74"/>
  <c r="C17" i="86"/>
  <c r="C18" i="86" s="1"/>
  <c r="C20" i="86" s="1"/>
  <c r="C24" i="86" s="1"/>
  <c r="K6" i="86" s="1"/>
  <c r="G66" i="86" s="1"/>
  <c r="N85" i="85" s="1"/>
  <c r="G46" i="82"/>
  <c r="G51" i="82"/>
  <c r="E71" i="82"/>
  <c r="E66" i="82"/>
  <c r="C66" i="82"/>
  <c r="C71" i="82"/>
  <c r="H66" i="82"/>
  <c r="H71" i="82"/>
  <c r="F1044" i="93"/>
  <c r="G88" i="74"/>
  <c r="E17" i="86"/>
  <c r="E18" i="86" s="1"/>
  <c r="E20" i="86" s="1"/>
  <c r="E24" i="86" s="1"/>
  <c r="K8" i="86" s="1"/>
  <c r="J175" i="78"/>
  <c r="M173" i="78"/>
  <c r="S28" i="74"/>
  <c r="S27" i="74"/>
  <c r="S36" i="74"/>
  <c r="S24" i="74"/>
  <c r="J46" i="82"/>
  <c r="J51" i="82"/>
  <c r="D1007" i="93" l="1"/>
  <c r="E999" i="93"/>
  <c r="D1005" i="93"/>
  <c r="D1000" i="93"/>
  <c r="D1001" i="93"/>
  <c r="B25" i="82"/>
  <c r="B52" i="82" s="1"/>
  <c r="B54" i="82" s="1"/>
  <c r="B1008" i="93"/>
  <c r="C1006" i="93"/>
  <c r="C1022" i="93" s="1"/>
  <c r="C1002" i="93"/>
  <c r="B72" i="82"/>
  <c r="G52" i="82"/>
  <c r="G54" i="82" s="1"/>
  <c r="K72" i="82"/>
  <c r="K74" i="82" s="1"/>
  <c r="D72" i="82"/>
  <c r="D74" i="82" s="1"/>
  <c r="I52" i="82"/>
  <c r="H52" i="82"/>
  <c r="H54" i="82" s="1"/>
  <c r="J72" i="82"/>
  <c r="D52" i="82"/>
  <c r="D54" i="82" s="1"/>
  <c r="G1044" i="93"/>
  <c r="H88" i="74"/>
  <c r="G89" i="74"/>
  <c r="I54" i="82"/>
  <c r="E1027" i="93"/>
  <c r="F71" i="74"/>
  <c r="B1023" i="93"/>
  <c r="G30" i="86"/>
  <c r="C67" i="74"/>
  <c r="C68" i="74"/>
  <c r="G31" i="86" s="1"/>
  <c r="B1024" i="93"/>
  <c r="F44" i="68"/>
  <c r="L49" i="68"/>
  <c r="I20" i="93"/>
  <c r="E99" i="78"/>
  <c r="J99" i="78" s="1"/>
  <c r="I9" i="66"/>
  <c r="C21" i="86"/>
  <c r="L412" i="93"/>
  <c r="N412" i="93" s="1"/>
  <c r="M61" i="85"/>
  <c r="P61" i="85" s="1"/>
  <c r="L413" i="93"/>
  <c r="N413" i="93" s="1"/>
  <c r="L50" i="68"/>
  <c r="N50" i="68" s="1"/>
  <c r="J74" i="82"/>
  <c r="F30" i="86"/>
  <c r="F37" i="86" s="1"/>
  <c r="F38" i="86" s="1"/>
  <c r="F40" i="86" s="1"/>
  <c r="F44" i="86" s="1"/>
  <c r="K16" i="86" s="1"/>
  <c r="B74" i="82"/>
  <c r="K52" i="82" l="1"/>
  <c r="K54" i="82" s="1"/>
  <c r="C72" i="82"/>
  <c r="C74" i="82" s="1"/>
  <c r="F52" i="82"/>
  <c r="F54" i="82" s="1"/>
  <c r="E52" i="82"/>
  <c r="E54" i="82" s="1"/>
  <c r="J52" i="82"/>
  <c r="J54" i="82" s="1"/>
  <c r="H72" i="82"/>
  <c r="H74" i="82" s="1"/>
  <c r="D1002" i="93"/>
  <c r="D1006" i="93" s="1"/>
  <c r="D1022" i="93" s="1"/>
  <c r="F72" i="82"/>
  <c r="F74" i="82" s="1"/>
  <c r="I72" i="82"/>
  <c r="I74" i="82" s="1"/>
  <c r="C52" i="82"/>
  <c r="C54" i="82" s="1"/>
  <c r="E72" i="82"/>
  <c r="E74" i="82" s="1"/>
  <c r="B26" i="82"/>
  <c r="B28" i="82" s="1"/>
  <c r="B29" i="82" s="1"/>
  <c r="C1008" i="93"/>
  <c r="E1000" i="93"/>
  <c r="F999" i="93"/>
  <c r="E1005" i="93"/>
  <c r="E1007" i="93"/>
  <c r="E1001" i="93"/>
  <c r="B1021" i="93"/>
  <c r="B1016" i="93"/>
  <c r="B1018" i="93"/>
  <c r="B1017" i="93"/>
  <c r="G72" i="82"/>
  <c r="G74" i="82" s="1"/>
  <c r="G75" i="82" s="1"/>
  <c r="G76" i="82" s="1"/>
  <c r="I45" i="68"/>
  <c r="F85" i="92" s="1"/>
  <c r="F89" i="92" s="1"/>
  <c r="F105" i="92" s="1"/>
  <c r="F407" i="93"/>
  <c r="D75" i="82"/>
  <c r="D76" i="82"/>
  <c r="H55" i="82"/>
  <c r="H56" i="82" s="1"/>
  <c r="J56" i="82"/>
  <c r="J55" i="82"/>
  <c r="G37" i="86"/>
  <c r="G38" i="86" s="1"/>
  <c r="G40" i="86" s="1"/>
  <c r="G44" i="86" s="1"/>
  <c r="K17" i="86" s="1"/>
  <c r="K75" i="82"/>
  <c r="K76" i="82" s="1"/>
  <c r="F75" i="82"/>
  <c r="F76" i="82" s="1"/>
  <c r="E75" i="82"/>
  <c r="E76"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F55" i="82"/>
  <c r="F56" i="82" s="1"/>
  <c r="C75" i="82"/>
  <c r="C76" i="82" s="1"/>
  <c r="D55" i="82"/>
  <c r="D56" i="82" s="1"/>
  <c r="K55" i="82"/>
  <c r="K56" i="82" s="1"/>
  <c r="C55" i="82"/>
  <c r="C56" i="82" s="1"/>
  <c r="B55" i="82"/>
  <c r="B56" i="82" s="1"/>
  <c r="J75" i="82"/>
  <c r="J76" i="82"/>
  <c r="C22" i="86"/>
  <c r="C42" i="86" s="1"/>
  <c r="D42" i="86" s="1"/>
  <c r="E42" i="86" s="1"/>
  <c r="C41" i="86"/>
  <c r="D41" i="86" s="1"/>
  <c r="E41" i="86" s="1"/>
  <c r="D21" i="86"/>
  <c r="N49" i="68"/>
  <c r="B14" i="82"/>
  <c r="D68" i="74"/>
  <c r="C1024" i="93"/>
  <c r="F1027" i="93"/>
  <c r="G71" i="74"/>
  <c r="G1027" i="93" s="1"/>
  <c r="G55" i="82"/>
  <c r="G56" i="82" s="1"/>
  <c r="I55" i="82"/>
  <c r="I56" i="82"/>
  <c r="E55" i="82"/>
  <c r="E56" i="82" s="1"/>
  <c r="B75" i="82"/>
  <c r="B76" i="82" s="1"/>
  <c r="H75" i="82"/>
  <c r="H76" i="82" s="1"/>
  <c r="I408" i="93"/>
  <c r="C1023" i="93"/>
  <c r="D67" i="74"/>
  <c r="H30" i="86" s="1"/>
  <c r="I75" i="82"/>
  <c r="I76" i="82" s="1"/>
  <c r="H1044" i="93"/>
  <c r="I88" i="74"/>
  <c r="H89" i="74"/>
  <c r="F1007" i="93" l="1"/>
  <c r="F1000" i="93"/>
  <c r="G999" i="93"/>
  <c r="F1005" i="93"/>
  <c r="F1001" i="93"/>
  <c r="D1008" i="93"/>
  <c r="C1017" i="93"/>
  <c r="C1016" i="93"/>
  <c r="C1021" i="93"/>
  <c r="C1018" i="93"/>
  <c r="E1002" i="93"/>
  <c r="E1006" i="93" s="1"/>
  <c r="E1022" i="93" s="1"/>
  <c r="I1044" i="93"/>
  <c r="J88" i="74"/>
  <c r="I89" i="74"/>
  <c r="D1024" i="93"/>
  <c r="E68" i="74"/>
  <c r="I31" i="86" s="1"/>
  <c r="G20" i="82"/>
  <c r="G21" i="82" s="1"/>
  <c r="B20" i="82"/>
  <c r="B21" i="82" s="1"/>
  <c r="D1023" i="93"/>
  <c r="E67" i="74"/>
  <c r="H31" i="86"/>
  <c r="H37" i="86" s="1"/>
  <c r="H38" i="86" s="1"/>
  <c r="H40" i="86" s="1"/>
  <c r="H44" i="86" s="1"/>
  <c r="K18" i="86" s="1"/>
  <c r="E21" i="86"/>
  <c r="D22" i="86"/>
  <c r="E1008" i="93" l="1"/>
  <c r="H999" i="93"/>
  <c r="G1005" i="93"/>
  <c r="G1007" i="93"/>
  <c r="G1000" i="93"/>
  <c r="G1001" i="93"/>
  <c r="F1002" i="93"/>
  <c r="F1006" i="93"/>
  <c r="F1022" i="93" s="1"/>
  <c r="D1018" i="93"/>
  <c r="D1016" i="93"/>
  <c r="D1021" i="93"/>
  <c r="D1017" i="93"/>
  <c r="E1023" i="93"/>
  <c r="F67" i="74"/>
  <c r="C50" i="86" s="1"/>
  <c r="E1024" i="93"/>
  <c r="F68" i="74"/>
  <c r="C51" i="86" s="1"/>
  <c r="J1044" i="93"/>
  <c r="K88" i="74"/>
  <c r="J89" i="74"/>
  <c r="F21" i="86"/>
  <c r="E22" i="86"/>
  <c r="I30" i="86"/>
  <c r="I37" i="86" s="1"/>
  <c r="I38" i="86" s="1"/>
  <c r="I40" i="86" s="1"/>
  <c r="I44" i="86" s="1"/>
  <c r="K19" i="86" s="1"/>
  <c r="G1002" i="93" l="1"/>
  <c r="G1006" i="93" s="1"/>
  <c r="G1022" i="93" s="1"/>
  <c r="H1005" i="93"/>
  <c r="H1007" i="93"/>
  <c r="H1001" i="93"/>
  <c r="H1000" i="93"/>
  <c r="I999" i="93"/>
  <c r="F1008" i="93"/>
  <c r="E1018" i="93"/>
  <c r="E1021" i="93"/>
  <c r="E1016" i="93"/>
  <c r="E1017" i="93"/>
  <c r="B116" i="74"/>
  <c r="K1044" i="93"/>
  <c r="K89" i="74"/>
  <c r="G21" i="86"/>
  <c r="F22" i="86"/>
  <c r="C57" i="86"/>
  <c r="C58" i="86" s="1"/>
  <c r="C60" i="86" s="1"/>
  <c r="C64" i="86" s="1"/>
  <c r="K20" i="86" s="1"/>
  <c r="F1024" i="93"/>
  <c r="G68" i="74"/>
  <c r="D51" i="86" s="1"/>
  <c r="F1023" i="93"/>
  <c r="G67" i="74"/>
  <c r="D50" i="86" s="1"/>
  <c r="D57" i="86" s="1"/>
  <c r="D58" i="86" s="1"/>
  <c r="D60" i="86" s="1"/>
  <c r="D64" i="86" s="1"/>
  <c r="K21" i="86" s="1"/>
  <c r="I1001" i="93" l="1"/>
  <c r="I1005" i="93"/>
  <c r="I1000" i="93"/>
  <c r="I1007" i="93"/>
  <c r="J999" i="93"/>
  <c r="F1017" i="93"/>
  <c r="F1016" i="93"/>
  <c r="F1018" i="93"/>
  <c r="F1021" i="93"/>
  <c r="H1002" i="93"/>
  <c r="H1006" i="93" s="1"/>
  <c r="H1022" i="93" s="1"/>
  <c r="G1008" i="93"/>
  <c r="G22" i="86"/>
  <c r="H21" i="86"/>
  <c r="H67" i="74"/>
  <c r="G1023" i="93"/>
  <c r="H68" i="74"/>
  <c r="G1024" i="93"/>
  <c r="B1072" i="93"/>
  <c r="C116" i="74"/>
  <c r="B117" i="74"/>
  <c r="K999" i="93" l="1"/>
  <c r="J1000" i="93"/>
  <c r="J1007" i="93"/>
  <c r="J1001" i="93"/>
  <c r="J1005" i="93"/>
  <c r="G1021" i="93"/>
  <c r="G1016" i="93"/>
  <c r="G1018" i="93"/>
  <c r="G1017" i="93"/>
  <c r="H1008" i="93"/>
  <c r="I1002" i="93"/>
  <c r="I1006" i="93" s="1"/>
  <c r="I1022" i="93" s="1"/>
  <c r="C1072" i="93"/>
  <c r="D116" i="74"/>
  <c r="C117" i="74"/>
  <c r="I21" i="86"/>
  <c r="I22" i="86" s="1"/>
  <c r="H22" i="86"/>
  <c r="H1024" i="93"/>
  <c r="I68" i="74"/>
  <c r="F51" i="86" s="1"/>
  <c r="I67" i="74"/>
  <c r="F50" i="86" s="1"/>
  <c r="H1023" i="93"/>
  <c r="E51" i="86"/>
  <c r="E50" i="86"/>
  <c r="I1008" i="93" l="1"/>
  <c r="J1002" i="93"/>
  <c r="J1008" i="93" s="1"/>
  <c r="J1006" i="93"/>
  <c r="J1022" i="93" s="1"/>
  <c r="H1018" i="93"/>
  <c r="H1016" i="93"/>
  <c r="H1021" i="93"/>
  <c r="H1017" i="93"/>
  <c r="B1029" i="93"/>
  <c r="K1001" i="93"/>
  <c r="K1007" i="93"/>
  <c r="K1000" i="93"/>
  <c r="K1005" i="93"/>
  <c r="E116" i="74"/>
  <c r="D1072" i="93"/>
  <c r="D117" i="74"/>
  <c r="E57" i="86"/>
  <c r="E58" i="86" s="1"/>
  <c r="E60" i="86" s="1"/>
  <c r="E64" i="86" s="1"/>
  <c r="K22" i="86" s="1"/>
  <c r="I1023" i="93"/>
  <c r="J67" i="74"/>
  <c r="F57" i="86"/>
  <c r="F58" i="86" s="1"/>
  <c r="F60" i="86" s="1"/>
  <c r="F64" i="86" s="1"/>
  <c r="K23" i="86" s="1"/>
  <c r="J68" i="74"/>
  <c r="I1024" i="93"/>
  <c r="G51" i="86"/>
  <c r="J1021" i="93" l="1"/>
  <c r="J1018" i="93"/>
  <c r="J1017" i="93"/>
  <c r="J1016" i="93"/>
  <c r="K1002" i="93"/>
  <c r="K1006" i="93" s="1"/>
  <c r="K1022" i="93" s="1"/>
  <c r="K1008" i="93"/>
  <c r="B1037" i="93"/>
  <c r="B1030" i="93"/>
  <c r="B1035" i="93"/>
  <c r="B1031" i="93"/>
  <c r="C1029" i="93"/>
  <c r="I1018" i="93"/>
  <c r="I1016" i="93"/>
  <c r="I1021" i="93"/>
  <c r="I1017" i="93"/>
  <c r="J1024" i="93"/>
  <c r="K68" i="74"/>
  <c r="H51" i="86" s="1"/>
  <c r="K67" i="74"/>
  <c r="H50" i="86" s="1"/>
  <c r="J1023" i="93"/>
  <c r="G50" i="86"/>
  <c r="G57" i="86" s="1"/>
  <c r="G58" i="86" s="1"/>
  <c r="G60" i="86" s="1"/>
  <c r="G64" i="86" s="1"/>
  <c r="K24" i="86" s="1"/>
  <c r="E1072" i="93"/>
  <c r="F116" i="74"/>
  <c r="E117" i="74"/>
  <c r="C1030" i="93" l="1"/>
  <c r="C1037" i="93"/>
  <c r="D1029" i="93"/>
  <c r="C1035" i="93"/>
  <c r="C1031" i="93"/>
  <c r="B1032" i="93"/>
  <c r="B1036" i="93" s="1"/>
  <c r="B1051" i="93" s="1"/>
  <c r="K1018" i="93"/>
  <c r="K1016" i="93"/>
  <c r="K1021" i="93"/>
  <c r="K1017" i="93"/>
  <c r="H57" i="86"/>
  <c r="H58" i="86" s="1"/>
  <c r="H60" i="86" s="1"/>
  <c r="H64" i="86" s="1"/>
  <c r="K25" i="86" s="1"/>
  <c r="F1072" i="93"/>
  <c r="F117" i="74"/>
  <c r="O8" i="86"/>
  <c r="O14" i="86" s="1"/>
  <c r="O33" i="86" s="1"/>
  <c r="H63" i="86" s="1"/>
  <c r="L63" i="85"/>
  <c r="L93" i="85"/>
  <c r="K1023" i="93"/>
  <c r="B96" i="74"/>
  <c r="C85" i="90"/>
  <c r="K1024" i="93"/>
  <c r="B97" i="74"/>
  <c r="B1038" i="93" l="1"/>
  <c r="D1035" i="93"/>
  <c r="D1030" i="93"/>
  <c r="E1029" i="93"/>
  <c r="D1031" i="93"/>
  <c r="D1037" i="93"/>
  <c r="C1032" i="93"/>
  <c r="C1038" i="93" s="1"/>
  <c r="C1036" i="93"/>
  <c r="C1051" i="93" s="1"/>
  <c r="B1052" i="93"/>
  <c r="C96" i="74"/>
  <c r="B1053" i="93"/>
  <c r="C97" i="74"/>
  <c r="C1046" i="93" l="1"/>
  <c r="C1047" i="93"/>
  <c r="C1045" i="93"/>
  <c r="C1050" i="93"/>
  <c r="E1037" i="93"/>
  <c r="F1029" i="93"/>
  <c r="E1035" i="93"/>
  <c r="E1030" i="93"/>
  <c r="E1031" i="93"/>
  <c r="D1032" i="93"/>
  <c r="D1036" i="93" s="1"/>
  <c r="D1051" i="93" s="1"/>
  <c r="B1045" i="93"/>
  <c r="B1046" i="93"/>
  <c r="B1050" i="93"/>
  <c r="B1047" i="93"/>
  <c r="C1053" i="93"/>
  <c r="D97" i="74"/>
  <c r="C1052" i="93"/>
  <c r="D96" i="74"/>
  <c r="E1032" i="93" l="1"/>
  <c r="E1036" i="93" s="1"/>
  <c r="E1051" i="93" s="1"/>
  <c r="G1029" i="93"/>
  <c r="F1030" i="93"/>
  <c r="F1037" i="93"/>
  <c r="F1035" i="93"/>
  <c r="F1031" i="93"/>
  <c r="D1038" i="93"/>
  <c r="E96" i="74"/>
  <c r="D1052" i="93"/>
  <c r="E97" i="74"/>
  <c r="D1053" i="93"/>
  <c r="D1050" i="93" l="1"/>
  <c r="D1046" i="93"/>
  <c r="D1047" i="93"/>
  <c r="D1045" i="93"/>
  <c r="F1032" i="93"/>
  <c r="F1036" i="93" s="1"/>
  <c r="F1051" i="93" s="1"/>
  <c r="G1030" i="93"/>
  <c r="H1029" i="93"/>
  <c r="G1035" i="93"/>
  <c r="G1037" i="93"/>
  <c r="G1031" i="93"/>
  <c r="E1038" i="93"/>
  <c r="F96" i="74"/>
  <c r="E1052" i="93"/>
  <c r="F97" i="74"/>
  <c r="E1053" i="93"/>
  <c r="H1035" i="93" l="1"/>
  <c r="H1037" i="93"/>
  <c r="H1030" i="93"/>
  <c r="I1029" i="93"/>
  <c r="H1031" i="93"/>
  <c r="E1045" i="93"/>
  <c r="E1047" i="93"/>
  <c r="E1046" i="93"/>
  <c r="E1050" i="93"/>
  <c r="G1032" i="93"/>
  <c r="G1036" i="93" s="1"/>
  <c r="G1051" i="93" s="1"/>
  <c r="F1038" i="93"/>
  <c r="G97" i="74"/>
  <c r="F1053" i="93"/>
  <c r="F1052" i="93"/>
  <c r="G96" i="74"/>
  <c r="I1035" i="93" l="1"/>
  <c r="J1029" i="93"/>
  <c r="I1030" i="93"/>
  <c r="I1031" i="93"/>
  <c r="I1037" i="93"/>
  <c r="F1045" i="93"/>
  <c r="F1046" i="93"/>
  <c r="F1047" i="93"/>
  <c r="F1050" i="93"/>
  <c r="G1038" i="93"/>
  <c r="H1036" i="93"/>
  <c r="H1051" i="93" s="1"/>
  <c r="H1032" i="93"/>
  <c r="H96" i="74"/>
  <c r="G1052" i="93"/>
  <c r="G1053" i="93"/>
  <c r="H97" i="74"/>
  <c r="I1032" i="93" l="1"/>
  <c r="I1036" i="93" s="1"/>
  <c r="I1051" i="93" s="1"/>
  <c r="G1050" i="93"/>
  <c r="G1046" i="93"/>
  <c r="G1047" i="93"/>
  <c r="G1045" i="93"/>
  <c r="J1031" i="93"/>
  <c r="J1035" i="93"/>
  <c r="K1029" i="93"/>
  <c r="J1037" i="93"/>
  <c r="J1030" i="93"/>
  <c r="H1038" i="93"/>
  <c r="H1053" i="93"/>
  <c r="I97" i="74"/>
  <c r="H1052" i="93"/>
  <c r="I96" i="74"/>
  <c r="H1046" i="93" l="1"/>
  <c r="H1045" i="93"/>
  <c r="H1047" i="93"/>
  <c r="H1050" i="93"/>
  <c r="J1036" i="93"/>
  <c r="J1051" i="93" s="1"/>
  <c r="J1032" i="93"/>
  <c r="I1038" i="93"/>
  <c r="K1031" i="93"/>
  <c r="K1037" i="93"/>
  <c r="B1057" i="93"/>
  <c r="K1030" i="93"/>
  <c r="K1035" i="93"/>
  <c r="I1053" i="93"/>
  <c r="J97" i="74"/>
  <c r="I1052" i="93"/>
  <c r="J96" i="74"/>
  <c r="J1038" i="93" l="1"/>
  <c r="I1046" i="93"/>
  <c r="I1047" i="93"/>
  <c r="I1045" i="93"/>
  <c r="I1050" i="93"/>
  <c r="K1032" i="93"/>
  <c r="K1036" i="93" s="1"/>
  <c r="K1051" i="93" s="1"/>
  <c r="B1059" i="93"/>
  <c r="C1057" i="93"/>
  <c r="B1063" i="93"/>
  <c r="B1058" i="93"/>
  <c r="B1065" i="93"/>
  <c r="J1053" i="93"/>
  <c r="K97" i="74"/>
  <c r="K96" i="74"/>
  <c r="J1052" i="93"/>
  <c r="K1038" i="93" l="1"/>
  <c r="B1060" i="93"/>
  <c r="B1064" i="93" s="1"/>
  <c r="B1079" i="93" s="1"/>
  <c r="C1065" i="93"/>
  <c r="C1059" i="93"/>
  <c r="C1058" i="93"/>
  <c r="C1063" i="93"/>
  <c r="D1057" i="93"/>
  <c r="J1047" i="93"/>
  <c r="J1045" i="93"/>
  <c r="J1046" i="93"/>
  <c r="J1050" i="93"/>
  <c r="K1053" i="93"/>
  <c r="B125" i="74"/>
  <c r="B124" i="74"/>
  <c r="K1052" i="93"/>
  <c r="D1063" i="93" l="1"/>
  <c r="E1057" i="93"/>
  <c r="D1058" i="93"/>
  <c r="D1065" i="93"/>
  <c r="D1059" i="93"/>
  <c r="C1060" i="93"/>
  <c r="C1064" i="93" s="1"/>
  <c r="C1079" i="93" s="1"/>
  <c r="B1066" i="93"/>
  <c r="K1047" i="93"/>
  <c r="K1045" i="93"/>
  <c r="K1046" i="93"/>
  <c r="K1050" i="93"/>
  <c r="C124" i="74"/>
  <c r="B1080" i="93"/>
  <c r="B1081" i="93"/>
  <c r="C125" i="74"/>
  <c r="B1075" i="93" l="1"/>
  <c r="B1073" i="93"/>
  <c r="B1078" i="93"/>
  <c r="B1074" i="93"/>
  <c r="E1058" i="93"/>
  <c r="F1057" i="93"/>
  <c r="E1059" i="93"/>
  <c r="E1063" i="93"/>
  <c r="E1065" i="93"/>
  <c r="C1066" i="93"/>
  <c r="D1060" i="93"/>
  <c r="D1064" i="93"/>
  <c r="D1079" i="93" s="1"/>
  <c r="C1081" i="93"/>
  <c r="D125" i="74"/>
  <c r="D124" i="74"/>
  <c r="C1080" i="93"/>
  <c r="E1060" i="93" l="1"/>
  <c r="E1064" i="93" s="1"/>
  <c r="E1079" i="93" s="1"/>
  <c r="C1073" i="93"/>
  <c r="C1075" i="93"/>
  <c r="C1074" i="93"/>
  <c r="C1078" i="93"/>
  <c r="F1059" i="93"/>
  <c r="F1065" i="93"/>
  <c r="F1063" i="93"/>
  <c r="F1058" i="93"/>
  <c r="D1066" i="93"/>
  <c r="D1080" i="93"/>
  <c r="E124" i="74"/>
  <c r="D1081" i="93"/>
  <c r="E125" i="74"/>
  <c r="D1074" i="93" l="1"/>
  <c r="D1073" i="93"/>
  <c r="D1078" i="93"/>
  <c r="D1075" i="93"/>
  <c r="F1060" i="93"/>
  <c r="F1066" i="93" s="1"/>
  <c r="F1064" i="93"/>
  <c r="F1079" i="93" s="1"/>
  <c r="E1066" i="93"/>
  <c r="F125" i="74"/>
  <c r="F1081" i="93" s="1"/>
  <c r="E1081" i="93"/>
  <c r="F124" i="74"/>
  <c r="F1080" i="93" s="1"/>
  <c r="E1080" i="93"/>
  <c r="F1074" i="93" l="1"/>
  <c r="F1075" i="93"/>
  <c r="F1078" i="93"/>
  <c r="F1073" i="93"/>
  <c r="E1078" i="93"/>
  <c r="E1074" i="93"/>
  <c r="E1075" i="93"/>
  <c r="E1073"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<sst xmlns="http://schemas.openxmlformats.org/spreadsheetml/2006/main" count="13292" uniqueCount="4859">
  <si>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</si>
  <si>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</si>
  <si>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</si>
  <si>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</si>
  <si>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</si>
  <si>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</si>
  <si>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</si>
  <si>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</si>
  <si>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</si>
  <si>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</si>
  <si>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</si>
  <si>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</si>
  <si>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</si>
  <si>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</si>
  <si>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</si>
  <si>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</si>
  <si>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</si>
  <si>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</si>
  <si>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</si>
  <si>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</si>
  <si>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</si>
  <si>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</si>
  <si>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</si>
  <si>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</si>
  <si>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</si>
  <si>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</si>
  <si>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</si>
  <si>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</si>
  <si>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</si>
  <si>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</si>
  <si>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</si>
  <si>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</si>
  <si>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</si>
  <si>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</si>
  <si>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</si>
  <si>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</si>
  <si>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</si>
  <si>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</si>
  <si>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</si>
  <si>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</si>
  <si>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</si>
  <si>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</si>
  <si>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</si>
  <si>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</si>
  <si>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</si>
  <si>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</si>
  <si>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</si>
  <si>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</si>
  <si>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</si>
  <si>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</si>
  <si>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</si>
  <si>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</si>
  <si>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</si>
  <si>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</si>
  <si>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</si>
  <si>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</si>
  <si>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</si>
  <si>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</si>
  <si>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</si>
  <si>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</si>
  <si>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</si>
  <si>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</si>
  <si>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</si>
  <si>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</si>
  <si>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</si>
  <si>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</si>
  <si>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</si>
  <si>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</si>
  <si>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</si>
  <si>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</si>
  <si>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</si>
  <si>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</si>
  <si>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</si>
  <si>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</si>
  <si>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</si>
  <si>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</si>
  <si>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</si>
  <si>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</si>
  <si>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</si>
  <si>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</si>
  <si>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</si>
  <si>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</si>
  <si>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</si>
  <si>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</si>
  <si>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</si>
  <si>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</si>
  <si>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</si>
  <si>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</si>
  <si>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</si>
  <si>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</si>
  <si>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</si>
  <si>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</si>
  <si>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</si>
  <si>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</si>
  <si>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</si>
  <si>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</si>
  <si>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</si>
  <si>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</si>
  <si>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</si>
  <si>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</si>
  <si>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</si>
  <si>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</si>
  <si>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</si>
  <si>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</si>
  <si>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</si>
  <si>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</si>
  <si>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</si>
  <si>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</si>
  <si>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</si>
  <si>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</si>
  <si>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</si>
  <si>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</si>
  <si>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</si>
  <si>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</si>
  <si>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</si>
  <si>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</si>
  <si>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</si>
  <si>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</si>
  <si>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</si>
  <si>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</si>
  <si>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</si>
  <si>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</si>
  <si>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</si>
  <si>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</si>
  <si>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</si>
  <si>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</si>
  <si>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</si>
  <si>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</si>
  <si>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</si>
  <si>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</si>
  <si>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</si>
  <si>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</si>
  <si>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</si>
  <si>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</si>
  <si>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</si>
  <si>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</si>
  <si>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</si>
  <si>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</si>
  <si>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</si>
  <si>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</si>
  <si>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</si>
  <si>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</si>
  <si>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</si>
  <si>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</si>
  <si>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</si>
  <si>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</si>
  <si>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</si>
  <si>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</si>
  <si>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</si>
  <si>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</si>
  <si>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</si>
  <si>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</si>
  <si>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</si>
  <si>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</si>
  <si>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</si>
  <si>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</si>
  <si>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</si>
  <si>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</si>
  <si>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</si>
  <si>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</si>
  <si>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</si>
  <si>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</si>
  <si>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</si>
  <si>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</si>
  <si>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</si>
  <si>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</si>
  <si>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</si>
  <si>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</si>
  <si>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</si>
  <si>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</si>
  <si>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</si>
  <si>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</si>
  <si>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</si>
  <si>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</si>
  <si>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</si>
  <si>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</si>
  <si>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</si>
  <si>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</si>
  <si>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</si>
  <si>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</si>
  <si>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</si>
  <si>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</si>
  <si>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</si>
  <si>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</si>
  <si>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</si>
  <si>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</si>
  <si>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</si>
  <si>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</si>
  <si>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</si>
  <si>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</si>
  <si>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</si>
  <si>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</si>
  <si>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</si>
  <si>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</si>
  <si>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</si>
  <si>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</si>
  <si>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</si>
  <si>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</si>
  <si>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</si>
  <si>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</si>
  <si>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</si>
  <si>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</si>
  <si>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</si>
  <si>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</si>
  <si>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</si>
  <si>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</si>
  <si>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</si>
  <si>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</si>
  <si>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</si>
  <si>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</si>
  <si>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</si>
  <si>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</si>
  <si>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</si>
  <si>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</si>
  <si>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</si>
  <si>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</si>
  <si>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</si>
  <si>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</si>
  <si>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</si>
  <si>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</si>
  <si>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</si>
  <si>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</si>
  <si>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</si>
  <si>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</si>
  <si>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</si>
  <si>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</si>
  <si>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</si>
  <si>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</si>
  <si>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</si>
  <si>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</si>
  <si>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</si>
  <si>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</si>
  <si>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</si>
  <si>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</si>
  <si>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</si>
  <si>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</si>
  <si>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</si>
  <si>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</si>
  <si>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</si>
  <si>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</si>
  <si>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</si>
  <si>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</si>
  <si>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</si>
  <si>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</si>
  <si>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</si>
  <si>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</si>
  <si>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</si>
  <si>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</si>
  <si>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</si>
  <si>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</si>
  <si>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</si>
  <si>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</si>
  <si>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</si>
  <si>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</si>
  <si>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</si>
  <si>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</si>
  <si>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</si>
  <si>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</si>
  <si>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</si>
  <si>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</si>
  <si>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</si>
  <si>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</si>
  <si>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</si>
  <si>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</si>
  <si>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</si>
  <si>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</si>
  <si>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</si>
  <si>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</si>
  <si>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</si>
  <si>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</si>
  <si>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</si>
  <si>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</si>
  <si>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</si>
  <si>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</si>
  <si>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</si>
  <si>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</si>
  <si>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</si>
  <si>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</si>
  <si>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</si>
  <si>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</si>
  <si>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</si>
  <si>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</si>
  <si>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</si>
  <si>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</si>
  <si>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</si>
  <si>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</si>
  <si>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</si>
  <si>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</si>
  <si>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</si>
  <si>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</si>
  <si>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</si>
  <si>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</si>
  <si>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</si>
  <si>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</si>
  <si>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</si>
  <si>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</si>
  <si>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</si>
  <si>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</si>
  <si>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</si>
  <si>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</si>
  <si>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</si>
  <si>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</si>
  <si>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</si>
  <si>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</si>
  <si>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</si>
  <si>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</si>
  <si>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</si>
  <si>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</si>
  <si>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</si>
  <si>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</si>
  <si>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</si>
  <si>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</si>
  <si>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</si>
  <si>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</si>
  <si>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</si>
  <si>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</si>
  <si>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</si>
  <si>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</si>
  <si>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</si>
  <si>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</si>
  <si>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</si>
  <si>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</si>
  <si>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</si>
  <si>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</si>
  <si>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</si>
  <si>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</si>
  <si>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</si>
  <si>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</si>
  <si>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</si>
  <si>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</si>
  <si>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</si>
  <si>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</si>
  <si>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</si>
  <si>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</si>
  <si>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</si>
  <si>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</si>
  <si>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</si>
  <si>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</si>
  <si>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</si>
  <si>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</si>
  <si>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</si>
  <si>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</si>
  <si>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</si>
  <si>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</si>
  <si>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</si>
  <si>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</si>
  <si>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</si>
  <si>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</si>
  <si>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</si>
  <si>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</si>
  <si>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</si>
  <si>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</si>
  <si>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</si>
  <si>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</si>
  <si>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</si>
  <si>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</si>
  <si>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</si>
  <si>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</si>
  <si>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</si>
  <si>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</si>
  <si>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</si>
  <si>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</si>
  <si>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</si>
  <si>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</si>
  <si>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</si>
  <si>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</si>
  <si>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</si>
  <si>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</si>
  <si>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</si>
  <si>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</si>
  <si>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</si>
  <si>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</si>
  <si>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</si>
  <si>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</si>
  <si>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</si>
  <si>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</si>
  <si>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</si>
  <si>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</si>
  <si>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</si>
  <si>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</si>
  <si>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</si>
  <si>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</si>
  <si>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</si>
  <si>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</si>
  <si>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</si>
  <si>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</si>
  <si>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</si>
  <si>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</si>
  <si>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</si>
  <si>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</si>
  <si>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</si>
  <si>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</si>
  <si>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</si>
  <si>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</si>
  <si>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</si>
  <si>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</si>
  <si>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</si>
  <si>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</si>
  <si>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</si>
  <si>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</si>
  <si>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</si>
  <si>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</si>
  <si>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</si>
  <si>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</si>
  <si>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</si>
  <si>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</si>
  <si>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</si>
  <si>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</si>
  <si>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</si>
  <si>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</si>
  <si>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</si>
  <si>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</si>
  <si>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</si>
  <si>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</si>
  <si>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</si>
  <si>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</si>
  <si>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</si>
  <si>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</si>
  <si>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</si>
  <si>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</si>
  <si>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</si>
  <si>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</si>
  <si>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</si>
  <si>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</si>
  <si>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</si>
  <si>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</si>
  <si>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</si>
  <si>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</si>
  <si>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</si>
  <si>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</si>
  <si>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</si>
  <si>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</si>
  <si>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</si>
  <si>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</si>
  <si>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</si>
  <si>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</si>
  <si>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</si>
  <si>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</si>
  <si>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</si>
  <si>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</si>
  <si>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</si>
  <si>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</si>
  <si>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</si>
  <si>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</si>
  <si>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</si>
  <si>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</si>
  <si>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</si>
  <si>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</si>
  <si>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</si>
  <si>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</si>
  <si>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</si>
  <si>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</si>
  <si>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</si>
  <si>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</si>
  <si>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</si>
  <si>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</si>
  <si>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</si>
  <si>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</si>
  <si>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</si>
  <si>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</si>
  <si>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</si>
  <si>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</si>
  <si>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</si>
  <si>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</si>
  <si>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</si>
  <si>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</si>
  <si>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</si>
  <si>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</si>
  <si>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</si>
  <si>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</si>
  <si>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</si>
  <si>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</si>
  <si>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</si>
  <si>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</si>
  <si>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</si>
  <si>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</si>
  <si>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</si>
  <si>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</si>
  <si>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</si>
  <si>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</si>
  <si>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</si>
  <si>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</si>
  <si>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</si>
  <si>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</si>
  <si>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</si>
  <si>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</si>
  <si>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</si>
  <si>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</si>
  <si>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</si>
  <si>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</si>
  <si>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</si>
  <si>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</si>
  <si>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</si>
  <si>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</si>
  <si>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</si>
  <si>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</si>
  <si>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</si>
  <si>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</si>
  <si>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</si>
  <si>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</si>
  <si>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</si>
  <si>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</si>
  <si>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</si>
  <si>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</si>
  <si>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</si>
  <si>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</si>
  <si>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</si>
  <si>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</si>
  <si>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</si>
  <si>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</si>
  <si>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</si>
  <si>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</si>
  <si>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</si>
  <si>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</si>
  <si>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</si>
  <si>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</si>
  <si>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</si>
  <si>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</si>
  <si>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</si>
  <si>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</si>
  <si>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</si>
  <si>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</si>
  <si>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</si>
  <si>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</si>
  <si>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</si>
  <si>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</si>
  <si>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</si>
  <si>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</si>
  <si>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</si>
  <si>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</si>
  <si>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</si>
  <si>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</si>
  <si>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</si>
  <si>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</si>
  <si>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</si>
  <si>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</si>
  <si>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</si>
  <si>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</si>
  <si>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</si>
  <si>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</si>
  <si>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</si>
  <si>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</si>
  <si>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</si>
  <si>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</si>
  <si>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</si>
  <si>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</si>
  <si>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</si>
  <si>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</si>
  <si>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</si>
  <si>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</si>
  <si>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</si>
  <si>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</si>
  <si>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</si>
  <si>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</si>
  <si>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</si>
  <si>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</si>
  <si>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</si>
  <si>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</si>
  <si>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</si>
  <si>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</si>
  <si>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</si>
  <si>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</si>
  <si>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</si>
  <si>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</si>
  <si>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</si>
  <si>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</si>
  <si>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</si>
  <si>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</si>
  <si>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</si>
  <si>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</si>
  <si>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</si>
  <si>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</si>
  <si>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</si>
  <si>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</si>
  <si>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</si>
  <si>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</si>
  <si>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</si>
  <si>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</si>
  <si>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</si>
  <si>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</si>
  <si>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</si>
  <si>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</si>
  <si>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</si>
  <si>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</si>
  <si>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</si>
  <si>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</si>
  <si>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</si>
  <si>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</si>
  <si>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</si>
  <si>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</si>
  <si>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</si>
  <si>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</si>
  <si>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</si>
  <si>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</si>
  <si>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</si>
  <si>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</si>
  <si>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</si>
  <si>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</si>
  <si>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</si>
  <si>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</si>
  <si>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</si>
  <si>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</si>
  <si>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</si>
  <si>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</si>
  <si>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</si>
  <si>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</si>
  <si>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</si>
  <si>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</si>
  <si>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</si>
  <si>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</si>
  <si>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</si>
  <si>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</si>
  <si>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</si>
  <si>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</si>
  <si>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</si>
  <si>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</si>
  <si>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</si>
  <si>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</si>
  <si>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</si>
  <si>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</si>
  <si>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</si>
  <si>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</si>
  <si>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</si>
  <si>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</si>
  <si>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</si>
  <si>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</si>
  <si>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</si>
  <si>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</si>
  <si>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</si>
  <si>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</si>
  <si>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</si>
  <si>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</si>
  <si>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</si>
  <si>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</si>
  <si>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</si>
  <si>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</si>
  <si>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</si>
  <si>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</si>
  <si>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</si>
  <si>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</si>
  <si>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</si>
  <si>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</si>
  <si>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</si>
  <si>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</si>
  <si>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</si>
  <si>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</si>
  <si>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</si>
  <si>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</si>
  <si>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</si>
  <si>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</si>
  <si>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</si>
  <si>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</si>
  <si>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</si>
  <si>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</si>
  <si>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</si>
  <si>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</si>
  <si>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</si>
  <si>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</si>
  <si>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</si>
  <si>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</si>
  <si>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</si>
  <si>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</si>
  <si>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</si>
  <si>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</si>
  <si>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</si>
  <si>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</si>
  <si>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</si>
  <si>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</si>
  <si>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</si>
  <si>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</si>
  <si>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</si>
  <si>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</si>
  <si>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</si>
  <si>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</si>
  <si>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</si>
  <si>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</si>
  <si>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</si>
  <si>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</si>
  <si>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</si>
  <si>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</si>
  <si>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</si>
  <si>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</si>
  <si>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</si>
  <si>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</si>
  <si>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</si>
  <si>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</si>
  <si>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</si>
  <si>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</si>
  <si>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</si>
  <si>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</si>
  <si>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</si>
  <si>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</si>
  <si>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</si>
  <si>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</si>
  <si>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</si>
  <si>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</si>
  <si>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</si>
  <si>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</si>
  <si>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</si>
  <si>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</si>
  <si>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</si>
  <si>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</si>
  <si>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</si>
  <si>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</si>
  <si>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</si>
  <si>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</si>
  <si>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</si>
  <si>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</si>
  <si>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</si>
  <si>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</si>
  <si>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</si>
  <si>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</si>
  <si>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</si>
  <si>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</si>
  <si>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</si>
  <si>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</si>
  <si>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</si>
  <si>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</si>
  <si>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</si>
  <si>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</si>
  <si>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</si>
  <si>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</si>
  <si>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</si>
  <si>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</si>
  <si>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</si>
  <si>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</si>
  <si>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</si>
  <si>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</si>
  <si>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</si>
  <si>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</si>
  <si>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</si>
  <si>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</si>
  <si>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</si>
  <si>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</si>
  <si>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</si>
  <si>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</si>
  <si>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</si>
  <si>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</si>
  <si>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</si>
  <si>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</si>
  <si>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</si>
  <si>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</si>
  <si>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</si>
  <si>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</si>
  <si>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</si>
  <si>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</si>
  <si>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</si>
  <si>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</si>
  <si>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</si>
  <si>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</si>
  <si>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</si>
  <si>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</si>
  <si>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</si>
  <si>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</si>
  <si>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</si>
  <si>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</si>
  <si>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</si>
  <si>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</si>
  <si>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</si>
  <si>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</si>
  <si>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</si>
  <si>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</si>
  <si>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</si>
  <si>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</si>
  <si>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</si>
  <si>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</si>
  <si>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</si>
  <si>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</si>
  <si>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</si>
  <si>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</si>
  <si>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</si>
  <si>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</si>
  <si>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</si>
  <si>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</si>
  <si>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</si>
  <si>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</si>
  <si>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</si>
  <si>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</si>
  <si>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</si>
  <si>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</si>
  <si>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</si>
  <si>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</si>
  <si>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</si>
  <si>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</si>
  <si>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</si>
  <si>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</si>
  <si>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</si>
  <si>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</si>
  <si>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</si>
  <si>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</si>
  <si>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</si>
  <si>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</si>
  <si>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</si>
  <si>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</si>
  <si>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</si>
  <si>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</si>
  <si>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</si>
  <si>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</si>
  <si>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</si>
  <si>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</si>
  <si>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</si>
  <si>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</si>
  <si>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</si>
  <si>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</si>
  <si>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</si>
  <si>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</si>
  <si>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</si>
  <si>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</si>
  <si>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</si>
  <si>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</si>
  <si>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</si>
  <si>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</si>
  <si>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</si>
  <si>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</si>
  <si>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</si>
  <si>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</si>
  <si>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</si>
  <si>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</si>
  <si>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</si>
  <si>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</si>
  <si>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</si>
  <si>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</si>
  <si>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</si>
  <si>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</si>
  <si>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</si>
  <si>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</si>
  <si>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</si>
  <si>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</si>
  <si>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</si>
  <si>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</si>
  <si>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</si>
  <si>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</si>
  <si>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</si>
  <si>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</si>
  <si>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</si>
  <si>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</si>
  <si>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</si>
  <si>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</si>
  <si>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</si>
  <si>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</si>
  <si>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</si>
  <si>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</si>
  <si>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</si>
  <si>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</si>
  <si>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</si>
  <si>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</si>
  <si>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</si>
  <si>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</si>
  <si>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</si>
  <si>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</si>
  <si>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</si>
  <si>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</si>
  <si>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</si>
  <si>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</si>
  <si>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</si>
  <si>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</si>
  <si>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</si>
  <si>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</si>
  <si>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</si>
  <si>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</si>
  <si>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</si>
  <si>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</si>
  <si>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</si>
  <si>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</si>
  <si>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</si>
  <si>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</si>
  <si>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</si>
  <si>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</si>
  <si>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</si>
  <si>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</si>
  <si>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</si>
  <si>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</si>
  <si>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</si>
  <si>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</si>
  <si>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</si>
  <si>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</si>
  <si>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</si>
  <si>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</si>
  <si>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</si>
  <si>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</si>
  <si>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</si>
  <si>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</si>
  <si>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</si>
  <si>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</si>
  <si>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</si>
  <si>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</si>
  <si>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</si>
  <si>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</si>
  <si>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</si>
  <si>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</si>
  <si>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</si>
  <si>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</si>
  <si>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</si>
  <si>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</si>
  <si>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</si>
  <si>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</si>
  <si>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</si>
  <si>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</si>
  <si>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</si>
  <si>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</si>
  <si>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</si>
  <si>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</si>
  <si>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</si>
  <si>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</si>
  <si>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</si>
  <si>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</si>
  <si>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</si>
  <si>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</si>
  <si>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</si>
  <si>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</si>
  <si>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</si>
  <si>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</si>
  <si>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</si>
  <si>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</si>
  <si>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</si>
  <si>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</si>
  <si>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</si>
  <si>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</si>
  <si>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</si>
  <si>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</si>
  <si>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</si>
  <si>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</si>
  <si>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</si>
  <si>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</si>
  <si>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</si>
  <si>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</si>
  <si>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</si>
  <si>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</si>
  <si>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</si>
  <si>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</si>
  <si>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</si>
  <si>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</si>
  <si>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</si>
  <si>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</si>
  <si>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</si>
  <si>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</si>
  <si>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</si>
  <si>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</si>
  <si>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</si>
  <si>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</si>
  <si>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</si>
  <si>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</si>
  <si>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</si>
  <si>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</si>
  <si>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</si>
  <si>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</si>
  <si>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</si>
  <si>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</si>
  <si>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</si>
  <si>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</si>
  <si>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</si>
  <si>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</si>
  <si>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</si>
  <si>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</si>
  <si>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</si>
  <si>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</si>
  <si>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</si>
  <si>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</si>
  <si>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</si>
  <si>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</si>
  <si>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</si>
  <si>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</si>
  <si>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</si>
  <si>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</si>
  <si>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</si>
  <si>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</si>
  <si>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</si>
  <si>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</si>
  <si>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</si>
  <si>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</si>
  <si>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</si>
  <si>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</si>
  <si>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</si>
  <si>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</si>
  <si>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</si>
  <si>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</si>
  <si>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</si>
  <si>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</si>
  <si>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</si>
  <si>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</si>
  <si>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</si>
  <si>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</si>
  <si>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</si>
  <si>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</si>
  <si>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</si>
  <si>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</si>
  <si>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</si>
  <si>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</si>
  <si>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</si>
  <si>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</si>
  <si>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</si>
  <si>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</si>
  <si>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</si>
  <si>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</si>
  <si>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</si>
  <si>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</si>
  <si>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</si>
  <si>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</si>
  <si>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</si>
  <si>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</si>
  <si>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</si>
  <si>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</si>
  <si>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</si>
  <si>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</si>
  <si>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</si>
  <si>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</si>
  <si>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</si>
  <si>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</si>
  <si>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</si>
  <si>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</si>
  <si>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</si>
  <si>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</si>
  <si>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</si>
  <si>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</si>
  <si>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</si>
  <si>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</si>
  <si>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</si>
  <si>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</si>
  <si>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</si>
  <si>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</si>
  <si>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</si>
  <si>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</si>
  <si>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</si>
  <si>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</si>
  <si>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</si>
  <si>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</si>
  <si>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</si>
  <si>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</si>
  <si>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</si>
  <si>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</si>
  <si>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</si>
  <si>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</si>
  <si>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</si>
  <si>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</si>
  <si>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</si>
  <si>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</si>
  <si>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</si>
  <si>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</si>
  <si>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</si>
  <si>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</si>
  <si>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</si>
  <si>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</si>
  <si>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</si>
  <si>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</si>
  <si>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</si>
  <si>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</si>
  <si>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</si>
  <si>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</si>
  <si>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</si>
  <si>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</si>
  <si>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</si>
  <si>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</si>
  <si>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</si>
  <si>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</si>
  <si>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</si>
  <si>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</si>
  <si>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</si>
  <si>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</si>
  <si>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</si>
  <si>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</si>
  <si>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</si>
  <si>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</si>
  <si>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</si>
  <si>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</si>
  <si>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</si>
  <si>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</si>
  <si>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</si>
  <si>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</si>
  <si>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</si>
  <si>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</si>
  <si>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</si>
  <si>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</si>
  <si>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</si>
  <si>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</si>
  <si>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</si>
  <si>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</si>
  <si>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</si>
  <si>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</si>
  <si>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</si>
  <si>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</si>
  <si>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</si>
  <si>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</si>
  <si>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</si>
  <si>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</si>
  <si>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</si>
  <si>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</si>
  <si>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</si>
  <si>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</si>
  <si>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</si>
  <si>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</si>
  <si>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</si>
  <si>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</si>
  <si>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</si>
  <si>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</si>
  <si>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</si>
  <si>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</si>
  <si>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</si>
  <si>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</si>
  <si>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</si>
  <si>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</si>
  <si>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</si>
  <si>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</si>
  <si>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</si>
  <si>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</si>
  <si>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</si>
  <si>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</si>
  <si>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</si>
  <si>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</si>
  <si>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</si>
  <si>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</si>
  <si>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</si>
  <si>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</si>
  <si>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</si>
  <si>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</si>
  <si>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</si>
  <si>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</si>
  <si>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</si>
  <si>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</si>
  <si>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</si>
  <si>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</si>
  <si>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</si>
  <si>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</si>
  <si>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</si>
  <si>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</si>
  <si>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</si>
  <si>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</si>
  <si>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</si>
  <si>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</si>
  <si>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</si>
  <si>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</si>
  <si>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</si>
  <si>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</si>
  <si>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</si>
  <si>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</si>
  <si>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</si>
  <si>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</si>
  <si>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</si>
  <si>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</si>
  <si>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</si>
  <si>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</si>
  <si>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</si>
  <si>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</si>
  <si>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</si>
  <si>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</si>
  <si>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</si>
  <si>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</si>
  <si>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</si>
  <si>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</si>
  <si>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</si>
  <si>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</si>
  <si>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</si>
  <si>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</si>
  <si>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</si>
  <si>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</si>
  <si>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</si>
  <si>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</si>
  <si>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</si>
  <si>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</si>
  <si>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</si>
  <si>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</si>
  <si>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</si>
  <si>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</si>
  <si>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</si>
  <si>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</si>
  <si>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</si>
  <si>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</si>
  <si>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</si>
  <si>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</si>
  <si>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</si>
  <si>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</si>
  <si>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</si>
  <si>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</si>
  <si>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</si>
  <si>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</si>
  <si>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</si>
  <si>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</si>
  <si>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</si>
  <si>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</si>
  <si>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</si>
  <si>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</si>
  <si>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</si>
  <si>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</si>
  <si>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</si>
  <si>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</si>
  <si>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</si>
  <si>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</si>
  <si>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</si>
  <si>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</si>
  <si>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</si>
  <si>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</si>
  <si>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</si>
  <si>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</si>
  <si>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</si>
  <si>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</si>
  <si>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</si>
  <si>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</si>
  <si>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</si>
  <si>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</si>
  <si>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</si>
  <si>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</si>
  <si>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</si>
  <si>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</si>
  <si>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</si>
  <si>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</si>
  <si>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</si>
  <si>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</si>
  <si>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</si>
  <si>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</si>
  <si>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</si>
  <si>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</si>
  <si>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</si>
  <si>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</si>
  <si>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</si>
  <si>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</si>
  <si>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</si>
  <si>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</si>
  <si>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</si>
  <si>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</si>
  <si>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</si>
  <si>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</si>
  <si>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</si>
  <si>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</si>
  <si>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</si>
  <si>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</si>
  <si>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</si>
  <si>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</si>
  <si>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</si>
  <si>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</si>
  <si>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</si>
  <si>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</si>
  <si>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</si>
  <si>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</si>
  <si>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</si>
  <si>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</si>
  <si>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</si>
  <si>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</si>
  <si>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</si>
  <si>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</si>
  <si>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</si>
  <si>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</si>
  <si>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</si>
  <si>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</si>
  <si>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</si>
  <si>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</si>
  <si>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</si>
  <si>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</si>
  <si>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</si>
  <si>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</si>
  <si>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</si>
  <si>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</si>
  <si>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</si>
  <si>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</si>
  <si>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</si>
  <si>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</si>
  <si>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</si>
  <si>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</si>
  <si>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</si>
  <si>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</si>
  <si>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</si>
  <si>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</si>
  <si>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</si>
  <si>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</si>
  <si>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</si>
  <si>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</si>
  <si>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</si>
  <si>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</si>
  <si>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</si>
  <si>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</si>
  <si>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</si>
  <si>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</si>
  <si>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</si>
  <si>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</si>
  <si>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</si>
  <si>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</si>
  <si>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</si>
  <si>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</si>
  <si>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</si>
  <si>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</si>
  <si>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</si>
  <si>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</si>
  <si>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</si>
  <si>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</si>
  <si>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</si>
  <si>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</si>
  <si>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</si>
  <si>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</si>
  <si>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</si>
  <si>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</si>
  <si>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</si>
  <si>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</si>
  <si>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</si>
  <si>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</si>
  <si>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</si>
  <si>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</si>
  <si>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</si>
  <si>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</si>
  <si>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</si>
  <si>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</si>
  <si>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</si>
  <si>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</si>
  <si>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</si>
  <si>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</si>
  <si>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</si>
  <si>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</si>
  <si>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</si>
  <si>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</si>
  <si>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</si>
  <si>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</si>
  <si>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</si>
  <si>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</si>
  <si>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</si>
  <si>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</si>
  <si>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</si>
  <si>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</si>
  <si>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</si>
  <si>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</si>
  <si>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</si>
  <si>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</si>
  <si>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</si>
  <si>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</si>
  <si>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</si>
  <si>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</si>
  <si>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</si>
  <si>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</si>
  <si>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</si>
  <si>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</si>
  <si>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</si>
  <si>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</si>
  <si>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</si>
  <si>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</si>
  <si>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</si>
  <si>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</si>
  <si>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</si>
  <si>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</si>
  <si>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</si>
  <si>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</si>
  <si>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</si>
  <si>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</si>
  <si>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</si>
  <si>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</si>
  <si>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</si>
  <si>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</si>
  <si>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</si>
  <si>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</si>
  <si>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</si>
  <si>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</si>
  <si>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</si>
  <si>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</si>
  <si>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</si>
  <si>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</si>
  <si>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</si>
  <si>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</si>
  <si>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</si>
  <si>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</si>
  <si>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</si>
  <si>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</si>
  <si>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</si>
  <si>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</si>
  <si>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</si>
  <si>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</si>
  <si>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</si>
  <si>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</si>
  <si>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</si>
  <si>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</si>
  <si>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</si>
  <si>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</si>
  <si>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</si>
  <si>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</si>
  <si>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</si>
  <si>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</si>
  <si>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</si>
  <si>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</si>
  <si>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</si>
  <si>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</si>
  <si>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</si>
  <si>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</si>
  <si>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</si>
  <si>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</si>
  <si>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</si>
  <si>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</si>
  <si>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</si>
  <si>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</si>
  <si>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</si>
  <si>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</si>
  <si>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</si>
  <si>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</si>
  <si>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</si>
  <si>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</si>
  <si>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</si>
  <si>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</si>
  <si>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</si>
  <si>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</si>
  <si>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</si>
  <si>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</si>
  <si>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</si>
  <si>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</si>
  <si>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</si>
  <si>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</si>
  <si>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</si>
  <si>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</si>
  <si>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</si>
  <si>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</si>
  <si>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</si>
  <si>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</si>
  <si>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</si>
  <si>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</si>
  <si>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</si>
  <si>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</si>
  <si>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</si>
  <si>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</si>
  <si>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</si>
  <si>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</si>
  <si>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</si>
  <si>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</si>
  <si>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</si>
  <si>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</si>
  <si>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</si>
  <si>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</si>
  <si>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</si>
  <si>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</si>
  <si>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</si>
  <si>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</si>
  <si>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</si>
  <si>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</si>
  <si>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</si>
  <si>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</si>
  <si>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</si>
  <si>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</si>
  <si>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</si>
  <si>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</si>
  <si>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</si>
  <si>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</si>
  <si>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</si>
  <si>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</si>
  <si>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</si>
  <si>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</si>
  <si>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</si>
  <si>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</si>
  <si>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</si>
  <si>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</si>
  <si>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</si>
  <si>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</si>
  <si>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</si>
  <si>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</si>
  <si>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</si>
  <si>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</si>
  <si>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</si>
  <si>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</si>
  <si>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</si>
  <si>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</si>
  <si>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</si>
  <si>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</si>
  <si>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</si>
  <si>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</si>
  <si>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</si>
  <si>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</si>
  <si>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</si>
  <si>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</si>
  <si>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</si>
  <si>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</si>
  <si>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</si>
  <si>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</si>
  <si>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</si>
  <si>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</si>
  <si>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</si>
  <si>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</si>
  <si>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</si>
  <si>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</si>
  <si>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</si>
  <si>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</si>
  <si>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</si>
  <si>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</si>
  <si>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</si>
  <si>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</si>
  <si>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</si>
  <si>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</si>
  <si>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</si>
  <si>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</si>
  <si>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</si>
  <si>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</si>
  <si>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</si>
  <si>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</si>
  <si>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</si>
  <si>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</si>
  <si>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</si>
  <si>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</si>
  <si>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</si>
  <si>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</si>
  <si>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</si>
  <si>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</si>
  <si>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</si>
  <si>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</si>
  <si>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</si>
  <si>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</si>
  <si>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</si>
  <si>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</si>
  <si>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</si>
  <si>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</si>
  <si>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</si>
  <si>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</si>
  <si>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</si>
  <si>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</si>
  <si>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</si>
  <si>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</si>
  <si>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</si>
  <si>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</si>
  <si>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</si>
  <si>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</si>
  <si>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</si>
  <si>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</si>
  <si>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</si>
  <si>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</si>
  <si>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</si>
  <si>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</si>
  <si>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</si>
  <si>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</si>
  <si>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</si>
  <si>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</si>
  <si>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</si>
  <si>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</si>
  <si>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</si>
  <si>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</si>
  <si>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</si>
  <si>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</si>
  <si>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</si>
  <si>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</si>
  <si>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</si>
  <si>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</si>
  <si>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</si>
  <si>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</si>
  <si>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</si>
  <si>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</si>
  <si>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</si>
  <si>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</si>
  <si>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</si>
  <si>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</si>
  <si>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</si>
  <si>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</si>
  <si>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</si>
  <si>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</si>
  <si>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</si>
  <si>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</si>
  <si>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</si>
  <si>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</si>
  <si>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</si>
  <si>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</si>
  <si>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</si>
  <si>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</si>
  <si>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</si>
  <si>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</si>
  <si>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</si>
  <si>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</si>
  <si>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</si>
  <si>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</si>
  <si>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</si>
  <si>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</si>
  <si>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</si>
  <si>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</si>
  <si>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</si>
  <si>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</si>
  <si>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</si>
  <si>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</si>
  <si>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</si>
  <si>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</si>
  <si>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</si>
  <si>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</si>
  <si>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</si>
  <si>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</si>
  <si>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</si>
  <si>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</si>
  <si>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</si>
  <si>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</si>
  <si>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</si>
  <si>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</si>
  <si>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</si>
  <si>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</si>
  <si>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</si>
  <si>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</si>
  <si>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</si>
  <si>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</si>
  <si>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</si>
  <si>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</si>
  <si>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</si>
  <si>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</si>
  <si>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</si>
  <si>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</si>
  <si>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</si>
  <si>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</si>
  <si>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</si>
  <si>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</si>
  <si>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</si>
  <si>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</si>
  <si>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</si>
  <si>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</si>
  <si>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</si>
  <si>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</si>
  <si>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</si>
  <si>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</si>
  <si>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</si>
  <si>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</si>
  <si>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</si>
  <si>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</si>
  <si>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</si>
  <si>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</si>
  <si>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</si>
  <si>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</si>
  <si>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</si>
  <si>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</si>
  <si>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</si>
  <si>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</si>
  <si>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</si>
  <si>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</si>
  <si>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</si>
  <si>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</si>
  <si>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</si>
  <si>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</si>
  <si>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</si>
  <si>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</si>
  <si>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</si>
  <si>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</si>
  <si>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</si>
  <si>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</si>
  <si>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</si>
  <si>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</si>
  <si>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</si>
  <si>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</si>
  <si>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</si>
  <si>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</si>
  <si>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</si>
  <si>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</si>
  <si>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</si>
  <si>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</si>
  <si>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</si>
  <si>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</si>
  <si>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</si>
  <si>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</si>
  <si>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</si>
  <si>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</si>
  <si>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</si>
  <si>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</si>
  <si>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</si>
  <si>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</si>
  <si>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</si>
  <si>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</si>
  <si>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</si>
  <si>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</si>
  <si>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</si>
  <si>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</si>
  <si>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</si>
  <si>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</si>
  <si>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</si>
  <si>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</si>
  <si>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</si>
  <si>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</si>
  <si>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</si>
  <si>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</si>
  <si>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</si>
  <si>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</si>
  <si>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</si>
  <si>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</si>
  <si>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</si>
  <si>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</si>
  <si>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</si>
  <si>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</si>
  <si>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</si>
  <si>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</si>
  <si>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</si>
  <si>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</si>
  <si>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</si>
  <si>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</si>
  <si>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</si>
  <si>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</si>
  <si>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</si>
  <si>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</si>
  <si>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</si>
  <si>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</si>
  <si>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</si>
  <si>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</si>
  <si>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</si>
  <si>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</si>
  <si>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</si>
  <si>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</si>
  <si>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</si>
  <si>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</si>
  <si>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</si>
  <si>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</si>
  <si>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</si>
  <si>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</si>
  <si>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</si>
  <si>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</si>
  <si>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</si>
  <si>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</si>
  <si>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</si>
  <si>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</si>
  <si>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</si>
  <si>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</si>
  <si>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</si>
  <si>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</si>
  <si>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</si>
  <si>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</si>
  <si>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</si>
  <si>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</si>
  <si>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</si>
  <si>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</si>
  <si>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</si>
  <si>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</si>
  <si>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</si>
  <si>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</si>
  <si>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</si>
  <si>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</si>
  <si>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</si>
  <si>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</si>
  <si>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</si>
  <si>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</si>
  <si>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</si>
  <si>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</si>
  <si>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</si>
  <si>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</si>
  <si>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</si>
  <si>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</si>
  <si>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</si>
  <si>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</si>
  <si>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</si>
  <si>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</si>
  <si>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</si>
  <si>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</si>
  <si>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</si>
  <si>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</si>
  <si>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</si>
  <si>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</si>
  <si>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</si>
  <si>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</si>
  <si>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</si>
  <si>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</si>
  <si>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</si>
  <si>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</si>
  <si>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</si>
  <si>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</si>
  <si>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</si>
  <si>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</si>
  <si>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</si>
  <si>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</si>
  <si>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</si>
  <si>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</si>
  <si>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</si>
  <si>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</si>
  <si>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</si>
  <si>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</si>
  <si>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</si>
  <si>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</si>
  <si>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</si>
  <si>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</si>
  <si>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</si>
  <si>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</si>
  <si>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</si>
  <si>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</si>
  <si>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</si>
  <si>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</si>
  <si>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</si>
  <si>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</si>
  <si>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</si>
  <si>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</si>
  <si>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</si>
  <si>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</si>
  <si>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</si>
  <si>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</si>
  <si>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</si>
  <si>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</si>
  <si>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</si>
  <si>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</si>
  <si>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</si>
  <si>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</si>
  <si>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</si>
  <si>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</si>
  <si>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</si>
  <si>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</si>
  <si>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</si>
  <si>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</si>
  <si>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</si>
  <si>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</si>
  <si>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</si>
  <si>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</si>
  <si>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</si>
  <si>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</si>
  <si>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</si>
  <si>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</si>
  <si>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</si>
  <si>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</si>
  <si>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</si>
  <si>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</si>
  <si>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</si>
  <si>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</si>
  <si>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</si>
  <si>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</si>
  <si>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</si>
  <si>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</si>
  <si>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</si>
  <si>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</si>
  <si>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</si>
  <si>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</si>
  <si>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</si>
  <si>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</si>
  <si>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</si>
  <si>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</si>
  <si>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</si>
  <si>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</si>
  <si>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</si>
  <si>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</si>
  <si>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</si>
  <si>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</si>
  <si>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</si>
  <si>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</si>
  <si>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</si>
  <si>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</si>
  <si>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</si>
  <si>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</si>
  <si>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</si>
  <si>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</si>
  <si>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</si>
  <si>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</si>
  <si>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</si>
  <si>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</si>
  <si>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</si>
  <si>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</si>
  <si>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</si>
  <si>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</si>
  <si>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</si>
  <si>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</si>
  <si>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</si>
  <si>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</si>
  <si>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</si>
  <si>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</si>
  <si>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</si>
  <si>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</si>
  <si>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</si>
  <si>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</si>
  <si>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</si>
  <si>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</si>
  <si>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</si>
  <si>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</si>
  <si>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</si>
  <si>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</si>
  <si>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</si>
  <si>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</si>
  <si>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</si>
  <si>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</si>
  <si>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</si>
  <si>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</si>
  <si>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</si>
  <si>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</si>
  <si>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</si>
  <si>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</si>
  <si>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</si>
  <si>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</si>
  <si>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</si>
  <si>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</si>
  <si>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</si>
  <si>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</si>
  <si>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</si>
  <si>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</si>
  <si>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</si>
  <si>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</si>
  <si>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</si>
  <si>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</si>
  <si>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</si>
  <si>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</si>
  <si>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</si>
  <si>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</si>
  <si>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</si>
  <si>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</si>
  <si>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</si>
  <si>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</si>
  <si>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</si>
  <si>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</si>
  <si>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</si>
  <si>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</si>
  <si>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</si>
  <si>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</si>
  <si>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</si>
  <si>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</si>
  <si>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</si>
  <si>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</si>
  <si>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</si>
  <si>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</si>
  <si>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</si>
  <si>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</si>
  <si>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</si>
  <si>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</si>
  <si>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</si>
  <si>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</si>
  <si>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</si>
  <si>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</si>
  <si>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</si>
  <si>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</si>
  <si>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</si>
  <si>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</si>
  <si>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</si>
  <si>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</si>
  <si>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</si>
  <si>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</si>
  <si>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</si>
  <si>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</si>
  <si>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</si>
  <si>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</si>
  <si>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</si>
  <si>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</si>
  <si>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</si>
  <si>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</si>
  <si>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</si>
  <si>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</si>
  <si>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</si>
  <si>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</si>
  <si>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</si>
  <si>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</si>
  <si>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</si>
  <si>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</si>
  <si>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</si>
  <si>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</si>
  <si>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</si>
  <si>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</si>
  <si>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</si>
  <si>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</si>
  <si>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</si>
  <si>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</si>
  <si>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</si>
  <si>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</si>
  <si>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</si>
  <si>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</si>
  <si>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</si>
  <si>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</si>
  <si>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</si>
  <si>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</si>
  <si>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</si>
  <si>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</si>
  <si>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</si>
  <si>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</si>
  <si>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</si>
  <si>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</si>
  <si>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</si>
  <si>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</si>
  <si>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</si>
  <si>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</si>
  <si>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</si>
  <si>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</si>
  <si>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</si>
  <si>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</si>
  <si>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</si>
  <si>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</si>
  <si>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</si>
  <si>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</si>
  <si>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</si>
  <si>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</si>
  <si>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</si>
  <si>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</si>
  <si>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</si>
  <si>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</si>
  <si>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</si>
  <si>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</si>
  <si>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</si>
  <si>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</si>
  <si>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</si>
  <si>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</si>
  <si>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</si>
  <si>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</si>
  <si>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</si>
  <si>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</si>
  <si>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</si>
  <si>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</si>
  <si>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</si>
  <si>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</si>
  <si>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</si>
  <si>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</si>
  <si>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</si>
  <si>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</si>
  <si>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</si>
  <si>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</si>
  <si>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</si>
  <si>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</si>
  <si>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</si>
  <si>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</si>
  <si>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</si>
  <si>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</si>
  <si>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</si>
  <si>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</si>
  <si>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</si>
  <si>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</si>
  <si>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</si>
  <si>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</si>
  <si>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</si>
  <si>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</si>
  <si>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</si>
  <si>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</si>
  <si>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</si>
  <si>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</si>
  <si>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</si>
  <si>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</si>
  <si>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</si>
  <si>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</si>
  <si>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</si>
  <si>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</si>
  <si>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</si>
  <si>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</si>
  <si>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</si>
  <si>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</si>
  <si>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</si>
  <si>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</si>
  <si>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</si>
  <si>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</si>
  <si>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</si>
  <si>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</si>
  <si>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</si>
  <si>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</si>
  <si>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</si>
  <si>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</si>
  <si>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</si>
  <si>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</si>
  <si>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</si>
  <si>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</si>
  <si>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</si>
  <si>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</si>
  <si>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</si>
  <si>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</si>
  <si>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</si>
  <si>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</si>
  <si>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</si>
  <si>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</si>
  <si>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</si>
  <si>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</si>
  <si>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</si>
  <si>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</si>
  <si>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</si>
  <si>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</si>
  <si>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</si>
  <si>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</si>
  <si>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</si>
  <si>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</si>
  <si>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</si>
  <si>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</si>
  <si>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</si>
  <si>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</si>
  <si>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</si>
  <si>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</si>
  <si>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</si>
  <si>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</si>
  <si>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</si>
  <si>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</si>
  <si>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</si>
  <si>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</si>
  <si>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</si>
  <si>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</si>
  <si>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</si>
  <si>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</si>
  <si>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</si>
  <si>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</si>
  <si>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</si>
  <si>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</si>
  <si>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</si>
  <si>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</si>
  <si>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</si>
  <si>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</si>
  <si>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</si>
  <si>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</si>
  <si>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</si>
  <si>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</si>
  <si>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</si>
  <si>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</si>
  <si>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</si>
  <si>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</si>
  <si>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</si>
  <si>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</si>
  <si>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</si>
  <si>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</si>
  <si>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</si>
  <si>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</si>
  <si>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</si>
  <si>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</si>
  <si>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</si>
  <si>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</si>
  <si>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</si>
  <si>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</si>
  <si>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</si>
  <si>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</si>
  <si>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</si>
  <si>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</si>
  <si>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</si>
  <si>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</si>
  <si>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</si>
  <si>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</si>
  <si>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</si>
  <si>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</si>
  <si>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</si>
  <si>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</si>
  <si>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</si>
  <si>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</si>
  <si>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</si>
  <si>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</si>
  <si>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</si>
  <si>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</si>
  <si>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</si>
  <si>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</si>
  <si>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</si>
  <si>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</si>
  <si>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</si>
  <si>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</si>
  <si>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</si>
  <si>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</si>
  <si>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</si>
  <si>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</si>
  <si>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</si>
  <si>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</si>
  <si>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</si>
  <si>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</si>
  <si>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</si>
  <si>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</si>
  <si>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</si>
  <si>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</si>
  <si>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</si>
  <si>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</si>
  <si>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</si>
  <si>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</si>
  <si>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</si>
  <si>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</si>
  <si>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</si>
  <si>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</si>
  <si>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</si>
  <si>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</si>
  <si>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</si>
  <si>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</si>
  <si>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</si>
  <si>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</si>
  <si>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</si>
  <si>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</si>
  <si>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</si>
  <si>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</si>
  <si>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</si>
  <si>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</si>
  <si>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</si>
  <si>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</si>
  <si>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</si>
  <si>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</si>
  <si>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</si>
  <si>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</si>
  <si>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</si>
  <si>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</si>
  <si>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</si>
  <si>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</si>
  <si>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</si>
  <si>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</si>
  <si>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</si>
  <si>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</si>
  <si>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</si>
  <si>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</si>
  <si>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</si>
  <si>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</si>
  <si>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</si>
  <si>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</si>
  <si>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</si>
  <si>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</si>
  <si>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</si>
  <si>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</si>
  <si>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</si>
  <si>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</si>
  <si>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</si>
  <si>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</si>
  <si>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</si>
  <si>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</si>
  <si>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</si>
  <si>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</si>
  <si>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</si>
  <si>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</si>
  <si>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</si>
  <si>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</si>
  <si>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</si>
  <si>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</si>
  <si>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</si>
  <si>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</si>
  <si>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</si>
  <si>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</si>
  <si>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</si>
  <si>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</si>
  <si>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</si>
  <si>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</si>
  <si>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</si>
  <si>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</si>
  <si>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</si>
  <si>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</si>
  <si>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</si>
  <si>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</si>
  <si>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</si>
  <si>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</si>
  <si>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</si>
  <si>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</si>
  <si>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</si>
  <si>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</si>
  <si>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</si>
  <si>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</si>
  <si>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</si>
  <si>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</si>
  <si>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</si>
  <si>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</si>
  <si>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</si>
  <si>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</si>
  <si>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</si>
  <si>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</si>
  <si>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</si>
  <si>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</si>
  <si>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</si>
  <si>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</si>
  <si>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</si>
  <si>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</si>
  <si>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</si>
  <si>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</si>
  <si>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</si>
  <si>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</si>
  <si>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</si>
  <si>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</si>
  <si>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</si>
  <si>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</si>
  <si>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</si>
  <si>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</si>
  <si>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</si>
  <si>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</si>
  <si>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</si>
  <si>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</si>
  <si>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</si>
  <si>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</si>
  <si>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</si>
  <si>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</si>
  <si>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</si>
  <si>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</si>
  <si>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</si>
  <si>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</si>
  <si>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</si>
  <si>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</si>
  <si>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</si>
  <si>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</si>
  <si>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</si>
  <si>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</si>
  <si>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</si>
  <si>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</si>
  <si>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</si>
  <si>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</si>
  <si>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</si>
  <si>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</si>
  <si>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</si>
  <si>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</si>
  <si>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</si>
  <si>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</si>
  <si>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</si>
  <si>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</si>
  <si>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</si>
  <si>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</si>
  <si>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</si>
  <si>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</si>
  <si>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</si>
  <si>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</si>
  <si>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</si>
  <si>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</si>
  <si>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</si>
  <si>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</si>
  <si>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</si>
  <si>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</si>
  <si>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</si>
  <si>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</si>
  <si>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</si>
  <si>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</si>
  <si>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</si>
  <si>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</si>
  <si>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</si>
  <si>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</si>
  <si>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</si>
  <si>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</si>
  <si>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</si>
  <si>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</si>
  <si>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</si>
  <si>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</si>
  <si>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</si>
  <si>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</si>
  <si>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</si>
  <si>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</si>
  <si>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</si>
  <si>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</si>
  <si>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</si>
  <si>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</si>
  <si>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</si>
  <si>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</si>
  <si>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</si>
  <si>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</si>
  <si>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</si>
  <si>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</si>
  <si>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</si>
  <si>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</si>
  <si>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</si>
  <si>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</si>
  <si>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</si>
  <si>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</si>
  <si>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</si>
  <si>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</si>
  <si>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</si>
  <si>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</si>
  <si>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</si>
  <si>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</si>
  <si>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</si>
  <si>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</si>
  <si>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</si>
  <si>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</si>
  <si>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</si>
  <si>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</si>
  <si>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</si>
  <si>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</si>
  <si>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</si>
  <si>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</si>
  <si>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</si>
  <si>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</si>
  <si>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</si>
  <si>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</si>
  <si>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</si>
  <si>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</si>
  <si>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</si>
  <si>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</si>
  <si>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</si>
  <si>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</si>
  <si>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</si>
  <si>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</si>
  <si>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</si>
  <si>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</si>
  <si>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</si>
  <si>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</si>
  <si>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</si>
  <si>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</si>
  <si>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</si>
  <si>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</si>
  <si>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</si>
  <si>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</si>
  <si>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</si>
  <si>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</si>
  <si>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</si>
  <si>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</si>
  <si>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</si>
  <si>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</si>
  <si>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</si>
  <si>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</si>
  <si>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</si>
  <si>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</si>
  <si>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</si>
  <si>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</si>
  <si>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</si>
  <si>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</si>
  <si>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</si>
  <si>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</si>
  <si>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</si>
  <si>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</si>
  <si>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</si>
  <si>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</si>
  <si>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</si>
  <si>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</si>
  <si>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</si>
  <si>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</si>
  <si>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</si>
  <si>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</si>
  <si>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</si>
  <si>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</si>
  <si>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</si>
  <si>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</si>
  <si>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</si>
  <si>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</si>
  <si>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</si>
  <si>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</si>
  <si>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</si>
  <si>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</si>
  <si>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</si>
  <si>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</si>
  <si>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</si>
  <si>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</si>
  <si>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</si>
  <si>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</si>
  <si>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</si>
  <si>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</si>
  <si>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</si>
  <si>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</si>
  <si>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</si>
  <si>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</si>
  <si>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</si>
  <si>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</si>
  <si>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</si>
  <si>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</si>
  <si>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</si>
  <si>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</si>
  <si>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</si>
  <si>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</si>
  <si>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</si>
  <si>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</si>
  <si>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</si>
  <si>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</si>
  <si>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</si>
  <si>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</si>
  <si>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</si>
  <si>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</si>
  <si>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</si>
  <si>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</si>
  <si>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</si>
  <si>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</si>
  <si>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</si>
  <si>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</si>
  <si>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</si>
  <si>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</si>
  <si>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</si>
  <si>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</si>
  <si>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</si>
  <si>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</si>
  <si>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</si>
  <si>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</si>
  <si>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</si>
  <si>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</si>
  <si>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</si>
  <si>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</si>
  <si>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</si>
  <si>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</si>
  <si>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</si>
  <si>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</si>
  <si>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</si>
  <si>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</si>
  <si>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</si>
  <si>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</si>
  <si>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</si>
  <si>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</si>
  <si>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</si>
  <si>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</si>
  <si>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</si>
  <si>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</si>
  <si>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</si>
  <si>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</si>
  <si>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</si>
  <si>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</si>
  <si>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</si>
  <si>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</si>
  <si>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</si>
  <si>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</si>
  <si>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</si>
  <si>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</si>
  <si>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</si>
  <si>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</si>
  <si>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</si>
  <si>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</si>
  <si>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</si>
  <si>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</si>
  <si>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</si>
  <si>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</si>
  <si>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</si>
  <si>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</si>
  <si>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</si>
  <si>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</si>
  <si>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</si>
  <si>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</si>
  <si>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</si>
  <si>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</si>
  <si>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</si>
  <si>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</si>
  <si>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</si>
  <si>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</si>
  <si>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</si>
  <si>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</si>
  <si>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</si>
  <si>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</si>
  <si>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</si>
  <si>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</si>
  <si>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</si>
  <si>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</si>
  <si>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</si>
  <si>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</si>
  <si>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</si>
  <si>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</si>
  <si>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</si>
  <si>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</si>
  <si>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</si>
  <si>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</si>
  <si>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</si>
  <si>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</si>
  <si>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</si>
  <si>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</si>
  <si>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</si>
  <si>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</si>
  <si>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</si>
  <si>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</si>
  <si>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</si>
  <si>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</si>
  <si>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</si>
  <si>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</si>
  <si>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</si>
  <si>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</si>
  <si>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</si>
  <si>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</si>
  <si>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</si>
  <si>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</si>
  <si>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</si>
  <si>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</si>
  <si>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</si>
  <si>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</si>
  <si>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</si>
  <si>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</si>
  <si>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</si>
  <si>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</si>
  <si>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</si>
  <si>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</si>
  <si>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</si>
  <si>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</si>
  <si>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</si>
  <si>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</si>
  <si>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</si>
  <si>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</si>
  <si>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</si>
  <si>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</si>
  <si>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</si>
  <si>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</si>
  <si>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</si>
  <si>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</si>
  <si>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</si>
  <si>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</si>
  <si>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</si>
  <si>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</si>
  <si>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</si>
  <si>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</si>
  <si>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</si>
  <si>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</si>
  <si>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</si>
  <si>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</si>
  <si>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</si>
  <si>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</si>
  <si>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</si>
  <si>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</si>
  <si>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</si>
  <si>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</si>
  <si>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</si>
  <si>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</si>
  <si>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</si>
  <si>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</si>
  <si>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</si>
  <si>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</si>
  <si>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</si>
  <si>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</si>
  <si>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</si>
  <si>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</si>
  <si>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</si>
  <si>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</si>
  <si>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</si>
  <si>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</si>
  <si>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</si>
  <si>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</si>
  <si>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</si>
  <si>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</si>
  <si>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</si>
  <si>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</si>
  <si>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</si>
  <si>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</si>
  <si>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</si>
  <si>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</si>
  <si>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</si>
  <si>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</si>
  <si>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</si>
  <si>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</si>
  <si>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</si>
  <si>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</si>
  <si>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</si>
  <si>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</si>
  <si>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</si>
  <si>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</si>
  <si>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</si>
  <si>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</si>
  <si>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</si>
  <si>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</si>
  <si>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</si>
  <si>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</si>
  <si>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</si>
  <si>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</si>
  <si>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</si>
  <si>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</si>
  <si>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</si>
  <si>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</si>
  <si>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</si>
  <si>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</si>
  <si>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</si>
  <si>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</si>
  <si>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</si>
  <si>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</si>
  <si>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</si>
  <si>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</si>
  <si>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</si>
  <si>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</si>
  <si>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</si>
  <si>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</si>
  <si>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</si>
  <si>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</si>
  <si>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</si>
  <si>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</si>
  <si>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</si>
  <si>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</si>
  <si>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</si>
  <si>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</si>
  <si>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</si>
  <si>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</si>
  <si>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</si>
  <si>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</si>
  <si>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</si>
  <si>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</si>
  <si>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</si>
  <si>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</si>
  <si>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</si>
  <si>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</si>
  <si>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</si>
  <si>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</si>
  <si>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</si>
  <si>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</si>
  <si>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</si>
  <si>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</si>
  <si>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</si>
  <si>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</si>
  <si>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</si>
  <si>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</si>
  <si>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</si>
  <si>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</si>
  <si>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</si>
  <si>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</si>
  <si>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</si>
  <si>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</si>
  <si>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</si>
  <si>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</si>
  <si>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</si>
  <si>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</si>
  <si>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</si>
  <si>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</si>
  <si>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</si>
  <si>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</si>
  <si>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</si>
  <si>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</si>
  <si>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</si>
  <si>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</si>
  <si>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</si>
  <si>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</si>
  <si>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</si>
  <si>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</si>
  <si>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</si>
  <si>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</si>
  <si>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</si>
  <si>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</si>
  <si>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</si>
  <si>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</si>
  <si>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</si>
  <si>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</si>
  <si>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</si>
  <si>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</si>
  <si>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</si>
  <si>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</si>
  <si>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</si>
  <si>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</si>
  <si>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</si>
  <si>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</si>
  <si>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</si>
  <si>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</si>
  <si>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</si>
  <si>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</si>
  <si>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</si>
  <si>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</si>
  <si>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</si>
  <si>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</si>
  <si>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</si>
  <si>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</si>
  <si>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</si>
  <si>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</si>
  <si>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</si>
  <si>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</si>
  <si>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</si>
  <si>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</si>
  <si>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</si>
  <si>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</si>
  <si>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</si>
  <si>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</si>
  <si>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</si>
  <si>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</si>
  <si>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</si>
  <si>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</si>
  <si>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</si>
  <si>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</si>
  <si>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</si>
  <si>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</si>
  <si>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</si>
  <si>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</si>
  <si>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</si>
  <si>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</si>
  <si>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</si>
  <si>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</si>
  <si>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</si>
  <si>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</si>
  <si>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</si>
  <si>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</si>
  <si>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</si>
  <si>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</si>
  <si>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</si>
  <si>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</si>
  <si>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</si>
  <si>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</si>
  <si>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</si>
  <si>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</si>
  <si>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</si>
  <si>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</si>
  <si>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</si>
  <si>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</si>
  <si>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</si>
  <si>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</si>
  <si>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</si>
  <si>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</si>
  <si>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</si>
  <si>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</si>
  <si>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</si>
  <si>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</si>
  <si>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</si>
  <si>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</si>
  <si>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</si>
  <si>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</si>
  <si>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</si>
  <si>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</si>
  <si>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</si>
  <si>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</si>
  <si>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</si>
  <si>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</si>
  <si>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</si>
  <si>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</si>
  <si>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</si>
  <si>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</si>
  <si>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</si>
  <si>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</si>
  <si>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</si>
  <si>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</si>
  <si>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</si>
  <si>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</si>
  <si>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</si>
  <si>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</si>
  <si>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</si>
  <si>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</si>
  <si>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</si>
  <si>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</si>
  <si>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</si>
  <si>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</si>
  <si>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</si>
  <si>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</si>
  <si>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</si>
  <si>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</si>
  <si>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</si>
  <si>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</si>
  <si>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</si>
  <si>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</si>
  <si>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</si>
  <si>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</si>
  <si>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</si>
  <si>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</si>
  <si>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</si>
  <si>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</si>
  <si>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</si>
  <si>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</si>
  <si>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</si>
  <si>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</si>
  <si>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</si>
  <si>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</si>
  <si>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</si>
  <si>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</si>
  <si>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</si>
  <si>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</si>
  <si>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</si>
  <si>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</si>
  <si>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</si>
  <si>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</si>
  <si>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</si>
  <si>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</si>
  <si>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</si>
  <si>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</si>
  <si>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</si>
  <si>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</si>
  <si>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</si>
  <si>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</si>
  <si>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</si>
  <si>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</si>
  <si>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</si>
  <si>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</si>
  <si>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</si>
  <si>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</si>
  <si>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</si>
  <si>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</si>
  <si>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</si>
  <si>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</si>
  <si>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</si>
  <si>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</si>
  <si>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</si>
  <si>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</si>
  <si>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</si>
  <si>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</si>
  <si>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</si>
  <si>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</si>
  <si>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</si>
  <si>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</si>
  <si>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</si>
  <si>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</si>
  <si>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</si>
  <si>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</si>
  <si>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</si>
  <si>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</si>
  <si>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</si>
  <si>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</si>
  <si>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</si>
  <si>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</si>
  <si>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</si>
  <si>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</si>
  <si>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</si>
  <si>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</si>
  <si>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</si>
  <si>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</si>
  <si>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</si>
  <si>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</si>
  <si>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</si>
  <si>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</si>
  <si>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</si>
  <si>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</si>
  <si>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</si>
  <si>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</si>
  <si>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</si>
  <si>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</si>
  <si>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</si>
  <si>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</si>
  <si>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</si>
  <si>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</si>
  <si>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</si>
  <si>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</si>
  <si>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</si>
  <si>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</si>
  <si>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</si>
  <si>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</si>
  <si>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</si>
  <si>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</si>
  <si>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</si>
  <si>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</si>
  <si>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</si>
  <si>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</si>
  <si>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</si>
  <si>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</si>
  <si>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</si>
  <si>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</si>
  <si>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</si>
  <si>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</si>
  <si>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</si>
  <si>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</si>
  <si>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</si>
  <si>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</si>
  <si>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</si>
  <si>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</si>
  <si>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</si>
  <si>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</si>
  <si>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</si>
  <si>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</si>
  <si>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</si>
  <si>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</si>
  <si>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</si>
  <si>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</si>
  <si>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</si>
  <si>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</si>
  <si>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</si>
  <si>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</si>
  <si>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</si>
  <si>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</si>
  <si>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</si>
  <si>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</si>
  <si>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</si>
  <si>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</si>
  <si>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</si>
  <si>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</si>
  <si>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</si>
  <si>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</si>
  <si>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</si>
  <si>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</si>
  <si>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</si>
  <si>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</si>
  <si>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</si>
  <si>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</si>
  <si>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</si>
  <si>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</si>
  <si>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</si>
  <si>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</si>
  <si>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</si>
  <si>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</si>
  <si>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</si>
  <si>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</si>
  <si>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</si>
  <si>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</si>
  <si>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</si>
  <si>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</si>
  <si>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</si>
  <si>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</si>
  <si>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</si>
  <si>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</si>
  <si>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</si>
  <si>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</si>
  <si>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</si>
  <si>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</si>
  <si>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</si>
  <si>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</si>
  <si>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</si>
  <si>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</si>
  <si>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</si>
  <si>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</si>
  <si>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</si>
  <si>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</si>
  <si>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</si>
  <si>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</si>
  <si>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</si>
  <si>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</si>
  <si>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</si>
  <si>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</si>
  <si>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</si>
  <si>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</si>
  <si>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</si>
  <si>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</si>
  <si>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</si>
  <si>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</si>
  <si>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</si>
  <si>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</si>
  <si>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</si>
  <si>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</si>
  <si>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</si>
  <si>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</si>
  <si>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</si>
  <si>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</si>
  <si>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</si>
  <si>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</si>
  <si>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</si>
  <si>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</si>
  <si>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</si>
  <si>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</si>
  <si>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</si>
  <si>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</si>
  <si>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</si>
  <si>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</si>
  <si>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</si>
  <si>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</si>
  <si>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</si>
  <si>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</si>
  <si>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</si>
  <si>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</si>
  <si>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</si>
  <si>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</si>
  <si>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</si>
  <si>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</si>
  <si>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</si>
  <si>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</si>
  <si>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</si>
  <si>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</si>
  <si>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</si>
  <si>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</si>
  <si>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</si>
  <si>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</si>
  <si>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</si>
  <si>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</si>
  <si>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</si>
  <si>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</si>
  <si>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</si>
  <si>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</si>
  <si>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</si>
  <si>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</si>
  <si>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</si>
  <si>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</si>
  <si>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</si>
  <si>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</si>
  <si>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</si>
  <si>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</si>
  <si>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</si>
  <si>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</si>
  <si>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</si>
  <si>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</si>
  <si>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</si>
  <si>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</si>
  <si>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</si>
  <si>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</si>
  <si>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</si>
  <si>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</si>
  <si>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</si>
  <si>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</si>
  <si>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</si>
  <si>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</si>
  <si>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</si>
  <si>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</si>
  <si>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</si>
  <si>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</si>
  <si>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</si>
  <si>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</si>
  <si>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</si>
  <si>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</si>
  <si>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</si>
  <si>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</si>
  <si>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</si>
  <si>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</si>
  <si>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</si>
  <si>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</si>
  <si>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</si>
  <si>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</si>
  <si>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</si>
  <si>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</si>
  <si>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</si>
  <si>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</si>
  <si>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</si>
  <si>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</si>
  <si>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</si>
  <si>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</si>
  <si>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</si>
  <si>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</si>
  <si>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</si>
  <si>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</si>
  <si>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</si>
  <si>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</si>
  <si>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</si>
  <si>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</si>
  <si>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</si>
  <si>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</si>
  <si>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</si>
  <si>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</si>
  <si>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</si>
  <si>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</si>
  <si>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</si>
  <si>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</si>
  <si>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</si>
  <si>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</si>
  <si>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</si>
  <si>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</si>
  <si>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</si>
  <si>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</si>
  <si>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</si>
  <si>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</si>
  <si>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</si>
  <si>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</si>
  <si>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</si>
  <si>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</si>
  <si>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</si>
  <si>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</si>
  <si>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</si>
  <si>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</si>
  <si>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</si>
  <si>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</si>
  <si>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</si>
  <si>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</si>
  <si>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</si>
  <si>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</si>
  <si>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</si>
  <si>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</si>
  <si>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</si>
  <si>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</si>
  <si>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</si>
  <si>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</si>
  <si>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</si>
  <si>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</si>
  <si>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</si>
  <si>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</si>
  <si>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</si>
  <si>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</si>
  <si>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</si>
  <si>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</si>
  <si>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</si>
  <si>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</si>
  <si>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</si>
  <si>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</si>
  <si>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</si>
  <si>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</si>
  <si>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</si>
  <si>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</si>
  <si>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</si>
  <si>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</si>
  <si>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</si>
  <si>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</si>
  <si>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</si>
  <si>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</si>
  <si>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</si>
  <si>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</si>
  <si>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</si>
  <si>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</si>
  <si>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</si>
  <si>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</si>
  <si>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</si>
  <si>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</si>
  <si>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</si>
  <si>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</si>
  <si>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</si>
  <si>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</si>
  <si>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</si>
  <si>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</si>
  <si>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</si>
  <si>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</si>
  <si>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</si>
  <si>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</si>
  <si>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</si>
  <si>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</si>
  <si>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</si>
  <si>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</si>
  <si>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</si>
  <si>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</si>
  <si>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</si>
  <si>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</si>
  <si>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</si>
  <si>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</si>
  <si>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</si>
  <si>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</si>
  <si>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</si>
  <si>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</si>
  <si>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</si>
  <si>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</si>
  <si>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</si>
  <si>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</si>
  <si>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</si>
  <si>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</si>
  <si>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</si>
  <si>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</si>
  <si>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</si>
  <si>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</si>
  <si>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</si>
  <si>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</si>
  <si>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</si>
  <si>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</si>
  <si>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</si>
  <si>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</si>
  <si>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</si>
  <si>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</si>
  <si>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</si>
  <si>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</si>
  <si>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</si>
  <si>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</si>
  <si>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</si>
  <si>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</si>
  <si>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</si>
  <si>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</si>
  <si>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</si>
  <si>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</si>
  <si>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</si>
  <si>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</si>
  <si>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</si>
  <si>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</si>
  <si>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</si>
  <si>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</si>
  <si>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</si>
  <si>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</si>
  <si>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</si>
  <si>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</si>
  <si>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</si>
  <si>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</si>
  <si>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</si>
  <si>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</si>
  <si>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</si>
  <si>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</si>
  <si>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</si>
  <si>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</si>
  <si>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</si>
  <si>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</si>
  <si>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</si>
  <si>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</si>
  <si>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</si>
  <si>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</si>
  <si>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</si>
  <si>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</si>
  <si>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</si>
  <si>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</si>
  <si>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</si>
  <si>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</si>
  <si>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</si>
  <si>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</si>
  <si>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</si>
  <si>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</si>
  <si>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</si>
  <si>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</si>
  <si>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</si>
  <si>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</si>
  <si>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</si>
  <si>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</si>
  <si>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</si>
  <si>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</si>
  <si>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</si>
  <si>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</si>
  <si>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</si>
  <si>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</si>
  <si>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</si>
  <si>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</si>
  <si>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</si>
  <si>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</si>
  <si>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</si>
  <si>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</si>
  <si>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</si>
  <si>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</si>
  <si>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</si>
  <si>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</si>
  <si>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</si>
  <si>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</si>
  <si>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</si>
  <si>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</si>
  <si>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</si>
  <si>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</si>
  <si>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</si>
  <si>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</si>
  <si>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</si>
  <si>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</si>
  <si>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</si>
  <si>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</si>
  <si>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</si>
  <si>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</si>
  <si>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</si>
  <si>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</si>
  <si>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</si>
  <si>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</si>
  <si>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</si>
  <si>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</si>
  <si>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</si>
  <si>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</si>
  <si>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</si>
  <si>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</si>
  <si>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</si>
  <si>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</si>
  <si>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</si>
  <si>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</si>
  <si>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</si>
  <si>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</si>
  <si>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</si>
  <si>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</si>
  <si>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</si>
  <si>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</si>
  <si>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</si>
  <si>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</si>
  <si>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</si>
  <si>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</si>
  <si>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</si>
  <si>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</si>
  <si>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</si>
  <si>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</si>
  <si>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</si>
  <si>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</si>
  <si>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</si>
  <si>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</si>
  <si>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</si>
  <si>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</si>
  <si>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</si>
  <si>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</si>
  <si>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</si>
  <si>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</si>
  <si>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</si>
  <si>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</si>
  <si>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</si>
  <si>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</si>
  <si>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</si>
  <si>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</si>
  <si>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</si>
  <si>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</si>
  <si>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</si>
  <si>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</si>
  <si>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</si>
  <si>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</si>
  <si>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</si>
  <si>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</si>
  <si>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</si>
  <si>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</si>
  <si>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</si>
  <si>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</si>
  <si>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</si>
  <si>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</si>
  <si>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</si>
  <si>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</si>
  <si>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</si>
  <si>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</si>
  <si>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</si>
  <si>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</si>
  <si>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</si>
  <si>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</si>
  <si>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</si>
  <si>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</si>
  <si>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</si>
  <si>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</si>
  <si>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</si>
  <si>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</si>
  <si>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</si>
  <si>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</si>
  <si>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</si>
  <si>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</si>
  <si>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</si>
  <si>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</si>
  <si>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</si>
  <si>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</si>
  <si>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</si>
  <si>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</si>
  <si>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</si>
  <si>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</si>
  <si>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</si>
  <si>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</si>
  <si>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</si>
  <si>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</si>
  <si>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</si>
  <si>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</si>
  <si>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</si>
  <si>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</si>
  <si>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</si>
  <si>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</si>
  <si>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</si>
  <si>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</si>
  <si>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</si>
  <si>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</si>
  <si>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</si>
  <si>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</si>
  <si>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</si>
  <si>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</si>
  <si>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</si>
  <si>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</si>
  <si>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</si>
  <si>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</si>
  <si>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</si>
  <si>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</si>
  <si>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</si>
  <si>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</si>
  <si>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</si>
  <si>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</si>
  <si>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</si>
  <si>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</si>
  <si>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</si>
  <si>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</si>
  <si>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</si>
  <si>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</si>
  <si>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</si>
  <si>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</si>
  <si>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</si>
  <si>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</si>
  <si>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</si>
  <si>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</si>
  <si>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</si>
  <si>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</si>
  <si>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</si>
  <si>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</si>
  <si>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</si>
  <si>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</si>
  <si>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</si>
  <si>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</si>
  <si>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</si>
  <si>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</si>
  <si>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</si>
  <si>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</si>
  <si>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</si>
  <si>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</si>
  <si>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</si>
  <si>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</si>
  <si>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</si>
  <si>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</si>
  <si>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</si>
  <si>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</si>
  <si>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</si>
  <si>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</si>
  <si>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</si>
  <si>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</si>
  <si>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</si>
  <si>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</si>
  <si>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</si>
  <si>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</si>
  <si>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</si>
  <si>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</si>
  <si>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</si>
  <si>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rPr>
      <t xml:space="preserve"> after the date of issuance of the final certificate of occupancy for all Improvements, the </t>
    </r>
    <r>
      <rPr>
        <b/>
        <sz val="10"/>
        <rFont val="Arial"/>
        <family val="2"/>
      </rPr>
      <t>minimum occupancy</t>
    </r>
    <r>
      <rPr>
        <sz val="10"/>
        <rFont val="Arial"/>
      </rPr>
      <t xml:space="preserve"> of the Premises has been at least </t>
    </r>
    <r>
      <rPr>
        <b/>
        <sz val="10"/>
        <rFont val="Arial"/>
        <family val="2"/>
      </rPr>
      <t>93%</t>
    </r>
    <r>
      <rPr>
        <sz val="10"/>
        <rFont val="Arial"/>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</si>
  <si>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</si>
  <si>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</si>
  <si>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</si>
  <si>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rPr>
      <t xml:space="preserve"> Bedroom Units:</t>
    </r>
  </si>
  <si>
    <r>
      <rPr>
        <b/>
        <u/>
        <sz val="10"/>
        <rFont val="Arial"/>
        <family val="2"/>
      </rPr>
      <t>Two</t>
    </r>
    <r>
      <rPr>
        <sz val="10"/>
        <rFont val="Arial"/>
      </rPr>
      <t xml:space="preserve"> Bedroom Units:</t>
    </r>
  </si>
  <si>
    <r>
      <rPr>
        <b/>
        <u/>
        <sz val="10"/>
        <rFont val="Arial"/>
        <family val="2"/>
      </rPr>
      <t>Three</t>
    </r>
    <r>
      <rPr>
        <sz val="10"/>
        <rFont val="Arial"/>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</si>
  <si>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</si>
  <si>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</si>
  <si>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</si>
  <si>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</si>
  <si>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</si>
  <si>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</si>
  <si>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</si>
  <si>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</si>
  <si>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</si>
  <si>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</si>
  <si>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</si>
  <si>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</si>
  <si>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</si>
  <si>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</si>
  <si>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</si>
  <si>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</si>
  <si>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</si>
  <si>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</si>
  <si>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</si>
  <si>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</si>
  <si>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</si>
  <si>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</si>
  <si>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</si>
  <si>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</si>
  <si>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</si>
  <si>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</si>
  <si>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</si>
  <si>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</si>
  <si>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</si>
  <si>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</si>
  <si>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</si>
  <si>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</si>
  <si>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</si>
  <si>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</si>
  <si>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</si>
  <si>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</si>
  <si>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</si>
  <si>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</si>
  <si>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</si>
  <si>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</si>
  <si>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</si>
  <si>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</si>
  <si>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</si>
  <si>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</si>
  <si>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</si>
  <si>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</si>
  <si>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</si>
  <si>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</si>
  <si>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</si>
  <si>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</si>
  <si>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</si>
  <si>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</si>
  <si>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</si>
  <si>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</si>
  <si>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</si>
  <si>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</si>
  <si>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</si>
  <si>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</si>
  <si>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</si>
  <si>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</si>
  <si>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</si>
  <si>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</si>
  <si>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</si>
  <si>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</si>
  <si>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</si>
  <si>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</si>
  <si>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</si>
  <si>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</si>
  <si>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</si>
  <si>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</si>
  <si>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</si>
  <si>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</si>
  <si>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</si>
  <si>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</si>
  <si>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</si>
  <si>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</si>
  <si>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</si>
  <si>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</si>
  <si>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</si>
  <si>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</si>
  <si>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</si>
  <si>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</si>
  <si>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</si>
  <si>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</si>
  <si>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</si>
  <si>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</si>
  <si>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</si>
  <si>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</si>
  <si>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</si>
  <si>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</si>
  <si>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</si>
  <si>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</si>
  <si>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</si>
  <si>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</si>
  <si>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</si>
  <si>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</si>
  <si>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</si>
  <si>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</si>
  <si>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</si>
  <si>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</si>
  <si>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</si>
  <si>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</si>
  <si>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</si>
  <si>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</si>
  <si>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</si>
  <si>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</si>
  <si>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</si>
  <si>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</si>
  <si>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</si>
  <si>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</si>
  <si>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</si>
  <si>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</si>
  <si>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</si>
  <si>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</si>
  <si>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</si>
  <si>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</si>
  <si>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</si>
  <si>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</si>
  <si>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</si>
  <si>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</si>
  <si>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</si>
  <si>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</si>
  <si>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</si>
  <si>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</si>
  <si>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</si>
  <si>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</si>
  <si>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</si>
  <si>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</si>
  <si>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</si>
  <si>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</si>
  <si>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</si>
  <si>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</si>
  <si>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</si>
  <si>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</si>
  <si>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</si>
  <si>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</si>
  <si>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</si>
  <si>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</si>
  <si>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</si>
  <si>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</si>
  <si>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</si>
  <si>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</si>
  <si>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</si>
  <si>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</si>
  <si>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</si>
  <si>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</si>
  <si>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</si>
  <si>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</si>
  <si>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</si>
  <si>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</si>
  <si>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</si>
  <si>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</si>
  <si>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</si>
  <si>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</si>
  <si>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</si>
  <si>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</si>
  <si>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</si>
  <si>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</si>
  <si>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</si>
  <si>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</si>
  <si>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</si>
  <si>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</si>
  <si>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</si>
  <si>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</si>
  <si>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</si>
  <si>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</si>
  <si>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</si>
  <si>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</si>
  <si>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rPr>
      <t xml:space="preserve"> Powder-based stovetop fire suppression canisters installed above the range cook top </t>
    </r>
    <r>
      <rPr>
        <b/>
        <i/>
        <sz val="10"/>
        <color rgb="FFFF0000"/>
        <rFont val="Arial"/>
        <family val="2"/>
      </rPr>
      <t>or</t>
    </r>
    <r>
      <rPr>
        <sz val="10"/>
        <rFont val="Arial"/>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</si>
  <si>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</si>
  <si>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</si>
  <si>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</si>
  <si>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</si>
  <si>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</si>
  <si>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</si>
  <si>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</si>
  <si>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</si>
  <si>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</si>
  <si>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</si>
  <si>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</si>
  <si>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</si>
  <si>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</si>
  <si>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</si>
  <si>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</si>
  <si>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</si>
  <si>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</si>
  <si>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</si>
  <si>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</si>
  <si>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</si>
  <si>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</si>
  <si>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</si>
  <si>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</si>
  <si>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</si>
  <si>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</si>
  <si>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</si>
  <si>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</si>
  <si>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</si>
  <si>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</si>
  <si>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</si>
  <si>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</si>
  <si>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</si>
  <si>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</si>
  <si>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</si>
  <si>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</si>
  <si>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</si>
  <si>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</si>
  <si>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</si>
  <si>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</si>
  <si>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</si>
  <si>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</si>
  <si>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</si>
  <si>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</si>
  <si>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</si>
  <si>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</si>
  <si>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</si>
  <si>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</si>
  <si>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</si>
  <si>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</si>
  <si>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</si>
  <si>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</si>
  <si>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</si>
  <si>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</si>
  <si>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</si>
  <si>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</si>
  <si>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</si>
  <si>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</si>
  <si>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</si>
  <si>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</si>
  <si>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</si>
  <si>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</si>
  <si>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</si>
  <si>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</si>
  <si>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</si>
  <si>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</si>
  <si>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</si>
  <si>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</si>
  <si>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</si>
  <si>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</si>
  <si>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</si>
  <si>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</si>
  <si>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</si>
  <si>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</si>
  <si>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</si>
  <si>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</si>
  <si>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</si>
  <si>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</si>
  <si>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</si>
  <si>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</si>
  <si>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</si>
  <si>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</si>
  <si>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</si>
  <si>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</si>
  <si>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</si>
  <si>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</si>
  <si>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</si>
  <si>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</si>
  <si>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</si>
  <si>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</si>
  <si>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</si>
  <si>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</si>
  <si>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</si>
  <si>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</si>
  <si>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</si>
  <si>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</si>
  <si>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</si>
  <si>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</si>
  <si>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</si>
  <si>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</si>
  <si>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</si>
  <si>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</si>
  <si>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</si>
  <si>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</si>
  <si>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</si>
  <si>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</si>
  <si>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</si>
  <si>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</si>
  <si>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</si>
  <si>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</si>
  <si>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</si>
  <si>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</si>
  <si>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</si>
  <si>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</si>
  <si>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</si>
  <si>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</si>
  <si>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</si>
  <si>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</si>
  <si>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</si>
  <si>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</si>
  <si>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</si>
  <si>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</si>
  <si>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</si>
  <si>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</si>
  <si>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</si>
  <si>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</si>
  <si>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</si>
  <si>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</si>
  <si>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</si>
  <si>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</si>
  <si>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</si>
  <si>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</si>
  <si>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</si>
  <si>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</si>
  <si>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</si>
  <si>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</si>
  <si>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</si>
  <si>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</si>
  <si>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</si>
  <si>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</si>
  <si>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</si>
  <si>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</si>
  <si>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</si>
  <si>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</si>
  <si>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</si>
  <si>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</si>
  <si>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</si>
  <si>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</si>
  <si>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</si>
  <si>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</si>
  <si>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</si>
  <si>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</si>
  <si>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</si>
  <si>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</si>
  <si>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</si>
  <si>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</si>
  <si>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</si>
  <si>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</si>
  <si>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</si>
  <si>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</si>
  <si>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</si>
  <si>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</si>
  <si>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</si>
  <si>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</si>
  <si>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</si>
  <si>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</si>
  <si>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</si>
  <si>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</si>
  <si>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</si>
  <si>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</si>
  <si>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</si>
  <si>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</si>
  <si>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</si>
  <si>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</si>
  <si>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</si>
  <si>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</si>
  <si>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</si>
  <si>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</si>
  <si>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</si>
  <si>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</si>
  <si>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</si>
  <si>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</si>
  <si>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</si>
  <si>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</si>
  <si>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</si>
  <si>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</si>
  <si>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</si>
  <si>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</si>
  <si>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</si>
  <si>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</si>
  <si>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</si>
  <si>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</si>
  <si>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</si>
  <si>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</si>
  <si>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</si>
  <si>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</si>
  <si>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</si>
  <si>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</si>
  <si>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</si>
  <si>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</si>
  <si>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rPr>
      <t xml:space="preserve"> </t>
    </r>
  </si>
  <si>
    <r>
      <t>EQUITY COSTS</t>
    </r>
    <r>
      <rPr>
        <sz val="10"/>
        <rFont val="Arial"/>
      </rPr>
      <t xml:space="preserve"> </t>
    </r>
  </si>
  <si>
    <r>
      <t>OTHER COSTS</t>
    </r>
    <r>
      <rPr>
        <sz val="10"/>
        <rFont val="Arial"/>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</si>
  <si>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</si>
  <si>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</si>
  <si>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</si>
  <si>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</si>
  <si>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</si>
  <si>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</si>
  <si>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</si>
  <si>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</si>
  <si>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</si>
  <si>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</si>
  <si>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</si>
  <si>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</si>
  <si>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</si>
  <si>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</si>
  <si>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</si>
  <si>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</si>
  <si>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</si>
  <si>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</si>
  <si>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</si>
  <si>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</si>
  <si>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</si>
  <si>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</si>
  <si>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</si>
  <si>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</si>
  <si>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</si>
  <si>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</si>
  <si>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</si>
  <si>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</si>
  <si>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</si>
  <si>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</si>
  <si>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</si>
  <si>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</si>
  <si>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</si>
  <si>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</si>
  <si>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</si>
  <si>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</si>
  <si>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</si>
  <si>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</si>
  <si>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</si>
  <si>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</si>
  <si>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</si>
  <si>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</si>
  <si>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</si>
  <si>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</si>
  <si>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</si>
  <si>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</si>
  <si>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</si>
  <si>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</si>
  <si>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</si>
  <si>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</si>
  <si>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</si>
  <si>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</si>
  <si>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</si>
  <si>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</si>
  <si>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</si>
  <si>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</si>
  <si>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</si>
  <si>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</si>
  <si>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</si>
  <si>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</si>
  <si>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</si>
  <si>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</si>
  <si>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</si>
  <si>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</si>
  <si>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</si>
  <si>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</si>
  <si>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</si>
  <si>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</si>
  <si>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</si>
  <si>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</si>
  <si>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</si>
  <si>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</si>
  <si>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</si>
  <si>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</si>
  <si>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</si>
  <si>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</si>
  <si>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</si>
  <si>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</si>
  <si>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</si>
  <si>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</si>
  <si>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</si>
  <si>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</si>
  <si>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</si>
  <si>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</si>
  <si>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</si>
  <si>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</si>
  <si>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</si>
  <si>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</si>
  <si>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</si>
  <si>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</si>
  <si>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</si>
  <si>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</si>
  <si>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</si>
  <si>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</si>
  <si>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</si>
  <si>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</si>
  <si>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</si>
  <si>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</si>
  <si>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</si>
  <si>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</si>
  <si>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</si>
  <si>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</si>
  <si>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</si>
  <si>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</si>
  <si>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</si>
  <si>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</si>
  <si>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</si>
  <si>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</si>
  <si>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</si>
  <si>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</si>
  <si>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</si>
  <si>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</si>
  <si>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</si>
  <si>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</si>
  <si>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</si>
  <si>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</si>
  <si>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</si>
  <si>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</si>
  <si>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</si>
  <si>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</si>
  <si>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</si>
  <si>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</si>
  <si>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</si>
  <si>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</si>
  <si>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</si>
  <si>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</si>
  <si>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</si>
  <si>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</si>
  <si>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</si>
  <si>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</si>
  <si>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</si>
  <si>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</si>
  <si>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</si>
  <si>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</si>
  <si>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</si>
  <si>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</si>
  <si>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</si>
  <si>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</si>
  <si>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</si>
  <si>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</si>
  <si>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</si>
  <si>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</si>
  <si>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</si>
  <si>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</si>
  <si>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</si>
  <si>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</si>
  <si>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</si>
  <si>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</si>
  <si>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</si>
  <si>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</si>
  <si>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</si>
  <si>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</si>
  <si>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</si>
  <si>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</si>
  <si>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</si>
  <si>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</si>
  <si>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</si>
  <si>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</si>
  <si>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</si>
  <si>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</si>
  <si>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</si>
  <si>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</si>
  <si>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</si>
  <si>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</si>
  <si>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</si>
  <si>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</si>
  <si>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</si>
  <si>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</si>
  <si>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</si>
  <si>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</si>
  <si>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</si>
  <si>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</si>
  <si>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</si>
  <si>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</si>
  <si>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</si>
  <si>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</si>
  <si>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</si>
  <si>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</si>
  <si>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</si>
  <si>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</si>
  <si>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</si>
  <si>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</si>
  <si>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</si>
  <si>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</si>
  <si>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</si>
  <si>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</si>
  <si>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</si>
  <si>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</si>
  <si>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</si>
  <si>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</si>
  <si>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</si>
  <si>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</si>
  <si>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</si>
  <si>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</si>
  <si>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</si>
  <si>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</si>
  <si>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</si>
  <si>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</si>
  <si>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</si>
  <si>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</si>
  <si>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</si>
  <si>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</si>
  <si>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</si>
  <si>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</si>
  <si>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</si>
  <si>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</si>
  <si>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</si>
  <si>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</si>
  <si>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</si>
  <si>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</si>
  <si>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</si>
  <si>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</si>
  <si>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</si>
  <si>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</si>
  <si>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</si>
  <si>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</si>
  <si>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</si>
  <si>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</si>
  <si>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</si>
  <si>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</si>
  <si>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</si>
  <si>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</si>
  <si>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</si>
  <si>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</si>
  <si>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</si>
  <si>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</si>
  <si>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</si>
  <si>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</si>
  <si>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</si>
  <si>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</si>
  <si>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</si>
  <si>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</si>
  <si>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</si>
  <si>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</si>
  <si>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</si>
  <si>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</si>
  <si>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</si>
  <si>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</si>
  <si>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</si>
  <si>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</si>
  <si>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</si>
  <si>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</si>
  <si>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</si>
  <si>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</si>
  <si>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</si>
  <si>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</si>
  <si>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</si>
  <si>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</si>
  <si>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</si>
  <si>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</si>
  <si>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</si>
  <si>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</si>
  <si>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</si>
  <si>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</si>
  <si>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</si>
  <si>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</si>
  <si>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</si>
  <si>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</si>
  <si>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</si>
  <si>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</si>
  <si>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</si>
  <si>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</si>
  <si>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</si>
  <si>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</si>
  <si>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</si>
  <si>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</si>
  <si>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</si>
  <si>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</si>
  <si>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</si>
  <si>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</si>
  <si>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</si>
  <si>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</si>
  <si>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</si>
  <si>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</si>
  <si>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</si>
  <si>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</si>
  <si>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</si>
  <si>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</si>
  <si>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</si>
  <si>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</si>
  <si>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</si>
  <si>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</si>
  <si>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</si>
  <si>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</si>
  <si>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</si>
  <si>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</si>
  <si>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</si>
  <si>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</si>
  <si>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</si>
  <si>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</si>
  <si>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</si>
  <si>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</si>
  <si>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</si>
  <si>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</si>
  <si>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</si>
  <si>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</si>
  <si>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</si>
  <si>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</si>
  <si>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</si>
  <si>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</si>
  <si>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</si>
  <si>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</si>
  <si>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</si>
  <si>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</si>
  <si>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</si>
  <si>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</si>
  <si>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</si>
  <si>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</si>
  <si>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</si>
  <si>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</si>
  <si>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</si>
  <si>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</si>
  <si>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</si>
  <si>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</si>
  <si>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</si>
  <si>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</si>
  <si>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</si>
  <si>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</si>
  <si>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</si>
  <si>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</si>
  <si>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</si>
  <si>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</si>
  <si>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</si>
  <si>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</si>
  <si>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</si>
  <si>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</si>
  <si>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</si>
  <si>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</si>
  <si>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</si>
  <si>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</si>
  <si>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</si>
  <si>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</si>
  <si>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</si>
  <si>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</si>
  <si>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</si>
  <si>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</si>
  <si>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</si>
  <si>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</si>
  <si>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</si>
  <si>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</si>
  <si>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</si>
  <si>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</si>
  <si>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</si>
  <si>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</si>
  <si>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</si>
  <si>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</si>
  <si>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</si>
  <si>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</si>
  <si>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</si>
  <si>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</si>
  <si>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</si>
  <si>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</si>
  <si>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</si>
  <si>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</si>
  <si>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</si>
  <si>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</si>
  <si>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</si>
  <si>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</si>
  <si>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</si>
  <si>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</si>
  <si>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</si>
  <si>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</si>
  <si>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</si>
  <si>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</si>
  <si>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</si>
  <si>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</si>
  <si>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</si>
  <si>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</si>
  <si>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</si>
  <si>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</si>
  <si>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</si>
  <si>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</si>
  <si>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</si>
  <si>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</si>
  <si>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</si>
  <si>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</si>
  <si>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</si>
  <si>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</si>
  <si>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</si>
  <si>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</si>
  <si>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</si>
  <si>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</si>
  <si>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</si>
  <si>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</si>
  <si>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</si>
  <si>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</si>
  <si>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</si>
  <si>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</si>
  <si>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</si>
  <si>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</si>
  <si>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</si>
  <si>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</si>
  <si>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</si>
  <si>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</si>
  <si>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rPr>
      <t xml:space="preserve"> purposes only)</t>
    </r>
  </si>
  <si>
    <r>
      <t xml:space="preserve">Building Type: (for </t>
    </r>
    <r>
      <rPr>
        <b/>
        <i/>
        <sz val="10"/>
        <rFont val="Arial"/>
        <family val="2"/>
      </rPr>
      <t>Utility Allowance, Monitoring Fees</t>
    </r>
    <r>
      <rPr>
        <sz val="10"/>
        <rFont val="Arial"/>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</si>
  <si>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</si>
  <si>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</si>
  <si>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</si>
  <si>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</si>
  <si>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</si>
  <si>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</si>
  <si>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</si>
  <si>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</si>
  <si>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</si>
  <si>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</si>
  <si>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</si>
  <si>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</si>
  <si>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</si>
  <si>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</si>
  <si>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</si>
  <si>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</si>
  <si>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</si>
  <si>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</si>
  <si>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</si>
  <si>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</si>
  <si>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</si>
  <si>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</si>
  <si>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</si>
  <si>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</si>
  <si>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</si>
  <si>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</si>
  <si>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</si>
  <si>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</si>
  <si>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</si>
  <si>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</si>
  <si>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</si>
  <si>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</si>
  <si>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</si>
  <si>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</si>
  <si>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</si>
  <si>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</si>
  <si>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</si>
  <si>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</si>
  <si>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</si>
  <si>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</si>
  <si>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</si>
  <si>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</si>
  <si>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</si>
  <si>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</si>
  <si>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</si>
  <si>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</si>
  <si>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</si>
  <si>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</si>
  <si>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</si>
  <si>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</si>
  <si>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</si>
  <si>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</si>
  <si>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</si>
  <si>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</si>
  <si>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</si>
  <si>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</si>
  <si>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</si>
  <si>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</si>
  <si>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</si>
  <si>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</si>
  <si>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</si>
  <si>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</si>
  <si>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</si>
  <si>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</si>
  <si>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</si>
  <si>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</si>
  <si>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</si>
  <si>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</si>
  <si>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</si>
  <si>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</si>
  <si>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</si>
  <si>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</si>
  <si>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</si>
  <si>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</si>
  <si>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</si>
  <si>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</si>
  <si>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</si>
  <si>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</si>
  <si>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</si>
  <si>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</si>
  <si>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</si>
  <si>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</si>
  <si>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</si>
  <si>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</si>
  <si>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</si>
  <si>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</si>
  <si>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</si>
  <si>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</si>
  <si>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</si>
  <si>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</si>
  <si>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</si>
  <si>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</si>
  <si>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</si>
  <si>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</si>
  <si>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</si>
  <si>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</si>
  <si>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</si>
  <si>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</si>
  <si>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</si>
  <si>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</si>
  <si>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</si>
  <si>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</si>
  <si>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</si>
  <si>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</si>
  <si>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</si>
  <si>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</si>
  <si>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</si>
  <si>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</si>
  <si>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</si>
  <si>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</si>
  <si>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</si>
  <si>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</si>
  <si>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</si>
  <si>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</si>
  <si>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</si>
  <si>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</si>
  <si>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</si>
  <si>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</si>
  <si>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</si>
  <si>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</si>
  <si>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</si>
  <si>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</si>
  <si>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</si>
  <si>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</si>
  <si>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</si>
  <si>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</si>
  <si>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</si>
  <si>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</si>
  <si>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</si>
  <si>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</si>
  <si>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</si>
  <si>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</si>
  <si>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</si>
  <si>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</si>
  <si>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</si>
  <si>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</si>
  <si>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</si>
  <si>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</si>
  <si>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</si>
  <si>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</si>
  <si>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</si>
  <si>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</si>
  <si>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</si>
  <si>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</si>
  <si>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</si>
  <si>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</si>
  <si>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</si>
  <si>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</si>
  <si>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</si>
  <si>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</si>
  <si>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</si>
  <si>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</si>
  <si>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</si>
  <si>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</si>
  <si>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</si>
  <si>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</si>
  <si>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</si>
  <si>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</si>
  <si>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</si>
  <si>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</si>
  <si>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</si>
  <si>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</si>
  <si>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</si>
  <si>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</si>
  <si>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</si>
  <si>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</si>
  <si>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</si>
  <si>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</si>
  <si>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</si>
  <si>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</si>
  <si>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</si>
  <si>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</si>
  <si>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</si>
  <si>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</si>
  <si>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</si>
  <si>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</si>
  <si>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</si>
  <si>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</si>
  <si>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</si>
  <si>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</si>
  <si>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</si>
  <si>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</si>
  <si>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</si>
  <si>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</si>
  <si>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</si>
  <si>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</si>
  <si>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</si>
  <si>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</si>
  <si>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</si>
  <si>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</si>
  <si>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</si>
  <si>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</si>
  <si>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</si>
  <si>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</si>
  <si>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</si>
  <si>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</si>
  <si>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</si>
  <si>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</si>
  <si>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</si>
  <si>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</si>
  <si>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</si>
  <si>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</si>
  <si>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</si>
  <si>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</si>
  <si>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</si>
  <si>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</si>
  <si>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</si>
  <si>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</si>
  <si>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</si>
  <si>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</si>
  <si>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</si>
  <si>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</si>
  <si>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</si>
  <si>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</si>
  <si>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</si>
  <si>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</si>
  <si>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</si>
  <si>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</si>
  <si>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</si>
  <si>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</si>
  <si>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</si>
  <si>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</si>
  <si>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</si>
  <si>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</si>
  <si>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</si>
  <si>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</si>
  <si>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</si>
  <si>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</si>
  <si>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</si>
  <si>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</si>
  <si>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</si>
  <si>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</si>
  <si>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</si>
  <si>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</si>
  <si>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</si>
  <si>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</si>
  <si>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</si>
  <si>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</si>
  <si>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</si>
  <si>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</si>
  <si>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</si>
  <si>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</si>
  <si>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</si>
  <si>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</si>
  <si>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</si>
  <si>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</si>
  <si>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</si>
  <si>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</si>
  <si>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</si>
  <si>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</si>
  <si>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</si>
  <si>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</si>
  <si>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</si>
  <si>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</si>
  <si>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</si>
  <si>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</si>
  <si>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</si>
  <si>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</si>
  <si>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</si>
  <si>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</si>
  <si>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</si>
  <si>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</si>
  <si>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</si>
  <si>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</si>
  <si>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</si>
  <si>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</si>
  <si>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</si>
  <si>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</si>
  <si>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</si>
  <si>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</si>
  <si>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</si>
  <si>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</si>
  <si>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</si>
  <si>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</si>
  <si>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</si>
  <si>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</si>
  <si>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</si>
  <si>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</si>
  <si>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</si>
  <si>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</si>
  <si>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</si>
  <si>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</si>
  <si>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</si>
  <si>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</si>
  <si>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</si>
  <si>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</si>
  <si>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</si>
  <si>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</si>
  <si>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</si>
  <si>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</si>
  <si>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</si>
  <si>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</si>
  <si>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</si>
  <si>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</si>
  <si>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</si>
  <si>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</si>
  <si>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</si>
  <si>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</si>
  <si>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</si>
  <si>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</si>
  <si>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</si>
  <si>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</si>
  <si>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</si>
  <si>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</si>
  <si>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</si>
  <si>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</si>
  <si>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</si>
  <si>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</si>
  <si>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</si>
  <si>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</si>
  <si>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</si>
  <si>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</si>
  <si>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</si>
  <si>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</si>
  <si>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</si>
  <si>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</si>
  <si>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</si>
  <si>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</si>
  <si>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</si>
  <si>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</si>
  <si>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</si>
  <si>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</si>
  <si>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</si>
  <si>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</si>
  <si>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</si>
  <si>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</si>
  <si>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</si>
  <si>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</si>
  <si>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</si>
  <si>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</si>
  <si>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</si>
  <si>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</si>
  <si>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</si>
  <si>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</si>
  <si>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</si>
  <si>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</si>
  <si>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</si>
  <si>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</si>
  <si>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</si>
  <si>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</si>
  <si>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</si>
  <si>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</si>
  <si>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</si>
  <si>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</si>
  <si>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</si>
  <si>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</si>
  <si>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</si>
  <si>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</si>
  <si>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</si>
  <si>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</si>
  <si>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</si>
  <si>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</si>
  <si>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</si>
  <si>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</si>
  <si>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</si>
  <si>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</si>
  <si>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</si>
  <si>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</si>
  <si>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</si>
  <si>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</si>
  <si>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</si>
  <si>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</si>
  <si>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</si>
  <si>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</si>
  <si>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</si>
  <si>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</si>
  <si>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</si>
  <si>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</si>
  <si>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</si>
  <si>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</si>
  <si>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</si>
  <si>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</si>
  <si>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</si>
  <si>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</si>
  <si>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</si>
  <si>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</si>
  <si>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</si>
  <si>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</si>
  <si>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</si>
  <si>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</si>
  <si>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</si>
  <si>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</si>
  <si>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</si>
  <si>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</si>
  <si>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</si>
  <si>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</si>
  <si>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</si>
  <si>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</si>
  <si>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</si>
  <si>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</si>
  <si>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</si>
  <si>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</si>
  <si>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</si>
  <si>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</si>
  <si>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</si>
  <si>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</si>
  <si>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</si>
  <si>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</si>
  <si>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</si>
  <si>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</si>
  <si>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</si>
  <si>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</si>
  <si>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</si>
  <si>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</si>
  <si>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</si>
  <si>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</si>
  <si>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</si>
  <si>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</si>
  <si>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</si>
  <si>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</si>
  <si>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</si>
  <si>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</si>
  <si>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</si>
  <si>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</si>
  <si>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</si>
  <si>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</si>
  <si>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</si>
  <si>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</si>
  <si>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</si>
  <si>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</si>
  <si>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</si>
  <si>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William J. Rea, Jr.</t>
  </si>
  <si>
    <t>Rea Ventures Group, LLC</t>
  </si>
  <si>
    <t>2964 Peachthree Road NW, Suite 200</t>
  </si>
  <si>
    <t>billrea@reaventures.com</t>
  </si>
  <si>
    <t>Sean Brady</t>
  </si>
  <si>
    <t>Vice President of Development</t>
  </si>
  <si>
    <t>2964 Peachtree Road NW, Suite 200</t>
  </si>
  <si>
    <t>seanbrady@reaventures.com</t>
  </si>
  <si>
    <t>Abbington on Cheshire Bridge</t>
  </si>
  <si>
    <t>2070 Cheshire Bridge Road NE</t>
  </si>
  <si>
    <t>Within City Limits</t>
  </si>
  <si>
    <t>13121009200</t>
  </si>
  <si>
    <t>Keisha Lance Bottoms</t>
  </si>
  <si>
    <t>Mayor</t>
  </si>
  <si>
    <t>www.atlantaga.gov</t>
  </si>
  <si>
    <t>55 Trinity Avenue, SW</t>
  </si>
  <si>
    <t>Abbington Ridge</t>
  </si>
  <si>
    <t>Altoview Terrace</t>
  </si>
  <si>
    <t>Atlanta Abbington on Cheshire Bridge, LP</t>
  </si>
  <si>
    <t>Manager</t>
  </si>
  <si>
    <t>For Profit</t>
  </si>
  <si>
    <t>Abbington on Cheshire Bridge Partner, LLC</t>
  </si>
  <si>
    <t>www.reaventures.com</t>
  </si>
  <si>
    <t>Brian Womble</t>
  </si>
  <si>
    <t>Brady Development, LLC</t>
  </si>
  <si>
    <t>4625 Jefferson Lane SW</t>
  </si>
  <si>
    <t>sbrady820@yahoo.com</t>
  </si>
  <si>
    <t>Great Southern, LLC</t>
  </si>
  <si>
    <t>2009 Springhill Drive</t>
  </si>
  <si>
    <t>www.greatsouthernllc.com</t>
  </si>
  <si>
    <t>mike@greatsouthernllc.com</t>
  </si>
  <si>
    <t>Mike McGlamry</t>
  </si>
  <si>
    <t>Boyd Management</t>
  </si>
  <si>
    <t>Babbie Jaco</t>
  </si>
  <si>
    <t>Vice President</t>
  </si>
  <si>
    <t>babbie.jaco@boydmanagement.com</t>
  </si>
  <si>
    <t>P.O. Box 23589</t>
  </si>
  <si>
    <t>www.boydmanagement.com</t>
  </si>
  <si>
    <t>Coleman Talley, LLC</t>
  </si>
  <si>
    <t>www.colemantalley.com</t>
  </si>
  <si>
    <t>greg.clark@colemantalley.com</t>
  </si>
  <si>
    <t>Greg Clark</t>
  </si>
  <si>
    <t>Partner</t>
  </si>
  <si>
    <t>Aprio</t>
  </si>
  <si>
    <t>Five Concourse Parkway, Suite 1000</t>
  </si>
  <si>
    <t>Frank Gudger</t>
  </si>
  <si>
    <t>Martin Riley Associates - Architect, P.C.</t>
  </si>
  <si>
    <t>215 Church Street, Suite 200</t>
  </si>
  <si>
    <t>www.martinriley.com</t>
  </si>
  <si>
    <t>mriley@martinriley.com</t>
  </si>
  <si>
    <t>Mike Riley</t>
  </si>
  <si>
    <t>William J. Rea, Jr. owns a 45% interest in the Contractor (Great Southern, LLC) and 58% of the principal Developer (Rea Ventures Group, LLC).</t>
  </si>
  <si>
    <t>William J. Rea, Jr. owns a 45% interest in the Contractor (Great Southern, LLC) and 58% of the General Partner's uppier tier managing entity (Rea GP Holdings Group II, LLC).</t>
  </si>
  <si>
    <t>910 North Patterson Street</t>
  </si>
  <si>
    <t>frank.gudger@aprio.com</t>
  </si>
  <si>
    <t>www.aprio.com</t>
  </si>
  <si>
    <t>Rea GP Holdings Group II &amp; Rea Ventures Group</t>
  </si>
  <si>
    <t>W.J. Rea, Jr/E Buffenbarger/G Coogle III</t>
  </si>
  <si>
    <t>Direct</t>
  </si>
  <si>
    <t>Brady Communities / Brady Development</t>
  </si>
  <si>
    <t>Northwest Georgia Housing Authority (inexp)</t>
  </si>
  <si>
    <t>InvestAtlanta - Housing Opportunity Bonds loan</t>
  </si>
  <si>
    <t>Invest Atlanta - Housing Opportunity Bonds Loan</t>
  </si>
  <si>
    <t>Amortizing</t>
  </si>
  <si>
    <t>Rea Ventures Group / Brady Development</t>
  </si>
  <si>
    <t>Atlanta Housing Authority</t>
  </si>
  <si>
    <t>MF</t>
  </si>
  <si>
    <t>Electric Heat Pump</t>
  </si>
  <si>
    <t>3+ Story</t>
  </si>
  <si>
    <t>Invest Atlanta Fees</t>
  </si>
  <si>
    <t>DDA/QCT</t>
  </si>
  <si>
    <t>This application is for family development.</t>
  </si>
  <si>
    <t>Semi-Monthly Birthday Parties</t>
  </si>
  <si>
    <t>Arts and Crafts</t>
  </si>
  <si>
    <t>Real Property Research Group</t>
  </si>
  <si>
    <t>Agree</t>
  </si>
  <si>
    <t>Geotechnical &amp; Environmental Consultants, Inc. (GEC)</t>
  </si>
  <si>
    <t>Purchase Contract</t>
  </si>
  <si>
    <t>RVLH Acquisitions, Inc.</t>
  </si>
  <si>
    <t>The site is already accessible by paved public roads (Cheshire Bridge Road).  No documentation is needed evidencing approval to pave any additional roads.</t>
  </si>
  <si>
    <t>Not Applicable - property will be all electric</t>
  </si>
  <si>
    <t>Georgia Power</t>
  </si>
  <si>
    <t>Room</t>
  </si>
  <si>
    <t>Covered Porch</t>
  </si>
  <si>
    <t>On-site laundry</t>
  </si>
  <si>
    <t>Furnished Exercise / Fitness Center</t>
  </si>
  <si>
    <t>City of Atlanta Water System provides both public water and sewer service to the subject property.  Water lines and sewer lines are existing at the subject property as shown on the property survey.</t>
  </si>
  <si>
    <t>Zeffert &amp; Associates</t>
  </si>
  <si>
    <t>Accessibility and Fair Housing for disabled tenants continues to be an important role and focus of our development team.  The development will be in full compliance with ADA requirements and standards.</t>
  </si>
  <si>
    <t>The applicant will prioritize the sustainability of the affordable housing development.  Applicant plans to pursue Enterprise Green Communities certification.</t>
  </si>
  <si>
    <t>Atlanta Public Schools</t>
  </si>
  <si>
    <t>Sutton Middle School</t>
  </si>
  <si>
    <t>North Atlanta High School</t>
  </si>
  <si>
    <t>Upper</t>
  </si>
  <si>
    <t>B3</t>
  </si>
  <si>
    <t>Abbington on Cheshire Bridge is within the attendance zones for Garden Hills Elementary School, Sutton Middle School, and North Atlanta High School within the Atlanta Public Schools system.  Each of these schools exceeded the minimum scoring CCRPI value when scores are averaged from 2015-2017.  Therefore, the development qualifies for the full 3 points under Quality Education Areas.  The site also qualifies for 2 points under Workforce Housing Need as 42,947 jobs were identified by "On the Map" within a 2-mile radius of the site.  The address used in On the Map was 2070 Cheshire Bridge Road NE, Atlanta, GA 30324, the closest existing physical address.  The minimum scoring threshold for the Atlanta Metro MSA was 15,000 jobs (1 point) or 20,000 (2 points) for exceeding the target threshold by 50%.  This site location is well above the 50% increase threshold and eligible for the full jobs points.</t>
  </si>
  <si>
    <t>Garden Hills Elementary School</t>
  </si>
  <si>
    <t>PK-05</t>
  </si>
  <si>
    <t>06-08</t>
  </si>
  <si>
    <t>09-12</t>
  </si>
  <si>
    <t>Metro Atlanta Rapid Transit Agency (MARTA)</t>
  </si>
  <si>
    <t>http://www.itsmarta.com/bus-schedules.aspx</t>
  </si>
  <si>
    <t>http://www.itsmarta.com/bus-routes.aspx</t>
  </si>
  <si>
    <t xml:space="preserve">Abbington on Cheshire Bridge is located in Census Tract 92, a 2018 qualified census tract.  However, it is located 0.12 mile from Census Tract 1 which is an Upper Income tract where 6.15% of families are below the poverty line.  Therefore, this site qualifies for 1 point under Stable Communities (Flexible Pool Low-Poverty Communities) because it is within 1/4 mile of a census tract that is designated Middle or Upper Income and where less than 10% are below the Poverty level.  The site is also located in a B3 health sub-cluster as designated by the Georgia Department of Public Health.  Therefore, this site is eligible for 1 additional point under Stable Communities (Georgia Department of Public Health Stable Communities) because it is located in a B3 sub-cluster.   </t>
  </si>
  <si>
    <t>SunTrust Community Capital, LLC</t>
  </si>
  <si>
    <t>Senior Vice President</t>
  </si>
  <si>
    <t>brian.womble@suntrust.com</t>
  </si>
  <si>
    <t>www.suntrust.com</t>
  </si>
  <si>
    <t>According to Georgia DCA's online GIS mapping system (.http://georgia-dca.maps.arcgis.com), there have never been any LIHTC awards within a mile of the development site.  Therefore, Abbington on Cheshire Bridge is eligible for three (3) points under Previous Projects (Flexible Pool) since the site is not within a 1-mile radius of a Georgia Housing Credit development that has received an award in the last Six (6) DCA funding cycles.  The closest LIHTC award is Campbell Stone (2911 Pharr Court South NW, Atlanta, GA 30305) which is a 342-unit 4% award in 2005 that is located 2.2 miles to the northwest of the proposed development site.</t>
  </si>
  <si>
    <t>Publicly available</t>
  </si>
  <si>
    <t>Used both public and partner-provided data.  Public data sources included Fulton County Health Roadmap and CHNA's for Fulton County from Piedmont, Mercy Care, and Southern Regional hospitals.</t>
  </si>
  <si>
    <t>Homecare Medicine of Atlanta (www.hcmatl.com)</t>
  </si>
  <si>
    <t>Healthy Living and Healthy Eating Seminars</t>
  </si>
  <si>
    <t>monthly</t>
  </si>
  <si>
    <t>Daily</t>
  </si>
  <si>
    <t>Determining Proper Nutritional Needs for Your Family</t>
  </si>
  <si>
    <t>How to Source Affordable Healthy Food Options</t>
  </si>
  <si>
    <t>Proper Food Storage, Cooking, and Food Cleaning</t>
  </si>
  <si>
    <t>Monthly seminar discussion provided by Homecare Medicine of Atlanta</t>
  </si>
  <si>
    <t>Community Garden Cultivation Encouragement</t>
  </si>
  <si>
    <t>Health Services Coordinator</t>
  </si>
  <si>
    <t>10 units/mo (4-5 mos total)</t>
  </si>
  <si>
    <t>An appraisal is not required because there is not an identity of interest between the buyer and seller of the property.</t>
  </si>
  <si>
    <t>Chapter 1: p 1-2. Appendix Maps 1, 2, 3</t>
  </si>
  <si>
    <t xml:space="preserve">Section 1 page 3, Appenix pages 12-18. </t>
  </si>
  <si>
    <t>Chapter 3 p 10-11, Chapter 7 page 29</t>
  </si>
  <si>
    <t>Chapter 7 p 3, 6, 16, 29</t>
  </si>
  <si>
    <t>Chapter 8- all pages</t>
  </si>
  <si>
    <t>Chapter 2, Chapter 4, Chapter 5 (all), Appendix- Field work analysis- pp 33-48</t>
  </si>
  <si>
    <t>https://www.atlantaga.gov/home/showdocument?id=3046</t>
  </si>
  <si>
    <t>Government</t>
  </si>
  <si>
    <t xml:space="preserve">The park expansion on Armand Drive will provide additional park space for our residents use. In addition, the goal of the park expansion is to compliment and connect to the current and ongoing expansion of the South Peachtree Creek trail expansion which will be lcoated directly behind our site. Residents will be able to use the trial system for both recreation and commute to Lindbergh MARTA station as well as future trail expansion to Zonolite Dr connecting to Emory University. </t>
  </si>
  <si>
    <t xml:space="preserve">The Cheshire Bridge Road Corridor study specifically details expansion of public spaces and improved pedestrian activity. The Armand Park expansion along with the South Peachtree Creek trail development (current) will advance goals of both these goals. </t>
  </si>
  <si>
    <t xml:space="preserve">Abbington on Cheshire Bridge has committed to comply with the Enterprise Foundation Green Communities Certification program and achieve ten additional points over the baseline certification level. Rea Ventures has worked with SK Collaborative- an Enterprise Qualified TA Provider- to develop a compliant worksheet to achieve this standard. Currently, Abbington on Cheshire Bridge is tracking 62 points in the program including compliance with all mandatory program requirements.  Basic certification level for Enterprise Green Communities requires 35 points for compliance and QAP Exceptional certification requires 35+10. </t>
  </si>
  <si>
    <t>Conventional Construction Loan - SunTrust</t>
  </si>
  <si>
    <t>Conventional Permanent Loan - SunTrust</t>
  </si>
  <si>
    <t>Property will provide Range/Microwave and Refrigerator.  Utilty allowances confirmed most recent and in effect as of January 1, 2018 with Atlanta Housing Authority (who administers Section 8 within the City of Atlanta, where the development is located).</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</si>
  <si>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Insurance expense provided by insurance company.</t>
  </si>
  <si>
    <t xml:space="preserve">Healthy Eating Seminars Held Monthly (nutrition, food selection, food preparation, food sourcing)       </t>
  </si>
  <si>
    <t>Tenants will also be encouraged to utilize the community spaces for daily functions in addition to the above programs and enrichment classes.  Tenants will be encouraged to utilize on-site health screenings, seminars, fitness center, and garden.</t>
  </si>
  <si>
    <t>Wetlands and a 100-year floodplain were identified on a small portion of the north end of the property.  No development activity will occur in these areas.  Noise levels were projected above the 65 dB mitigation level but below the 75 dB avoidane level.  All recommended mitigation measures will be followed and no outdoor amenities will be located within the 65 dB noise line on the property.  No other environmental issues were identified.</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</si>
  <si>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</si>
  <si>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</si>
  <si>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</si>
  <si>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</si>
  <si>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 xml:space="preserve">There are no structures on this development site and no displacements would occur as a result of this development.                </t>
  </si>
  <si>
    <t>1 Abbington on Cheshire Bridge (Bonus Point)</t>
  </si>
  <si>
    <t>2 Abbington Ridge</t>
  </si>
  <si>
    <t>3 Altoview Terrace</t>
  </si>
  <si>
    <t xml:space="preserve">Applicant has elected to assign its Bonus Point to the Abbington on Cheshire Bridge application.               </t>
  </si>
  <si>
    <t>Development is not within a Georgia Initiative for Community Housing community or a Designated Military Zone.</t>
  </si>
  <si>
    <t>Applicant has set aside a minimum of 10% of the total units as 1-bedroom units at 50% AMI rents and agrees to accept Section 811 PBRA on these units.</t>
  </si>
  <si>
    <t>Applicant is not pursuing historic preservation on this development.</t>
  </si>
  <si>
    <t>Supplies</t>
  </si>
  <si>
    <t>Development carries two fixed debt service amounts: 1) Mortgage A represents SunTrust conventional loan with fixed annual payments; and 2) Mortgage B represents Invest Atlanta Housing Opportunity Bond unresricted loan fixed annual payments.  Debt service coverage ratio is at or above 1.20 through Year 15.  Asset Management Fee equal to $4,600 to SunTrust (trending at 3%) and $2,500 to Invest Atlanta (not trending).</t>
  </si>
  <si>
    <t>Hard costs estimated by the construction company that has decades experience building multifamily housing.  Applicant is building 4-story elevator-served building.  Permit, Impact, Water Tap and Sewer Tap calculated based on current rates with conversations with the city (see Tab 1).
Currently the construction sources only allow for $35,000 of Developer Fee to be paid during construction, despite what the equity partner is willing to allow in their LOI.  The Developer is aware of that and consents accordingly.
We have confirmed with the city that there are no Water or Sewer tap fee; however, there is a Water Meter Fee.  We have listed the calculation engineers gave us for Water Meter Fee on the Water Tap Fee line-item.  Permits and Impact Fees were calculated with the engineers and city guidance.</t>
  </si>
  <si>
    <t>All development team members are experienced in multifamily LIHTC housing.  Project team was deemed "Qualified" by DCA on April 30, 2018 for PA18-069 Abbington on Englewood.  The same development team as was proposed in Abbington on Englewood will comprise the development team for Abbington on Cheshire Bridge.  There have been no changes to the organizational structure since DCA's qualification determination.</t>
  </si>
  <si>
    <t>The property consists of one residential elevator-served building.  Hard costs were determined by an experienced contractor and are within 2017 HUD cost limits as these were in effect on January 1, 2018 per DCA instructions.  Project total development costs do not exceed the HUD cost limits for its type.</t>
  </si>
  <si>
    <t>RVLH Acquisitions, LLC is a wholly-owned subsidiary of Rea Ventures Group, LLC.  The purchase agreement has been assigned to the ownership entity, Atlanta Abbington on Cheshire Bridge, LP.</t>
  </si>
  <si>
    <t>The site is zoned appropriately for its intended use.  The site is zoned MRC-1-C (Mixed Residential Commercial District Regulations 1 with conditions).  Multi-family residential is a permitted use within this district and the conditions do not impede the proposed development.</t>
  </si>
  <si>
    <t xml:space="preserve">No Gas will be utilitzed on the subject development as the property will be all electric.  A letter from Georgia Power (signed and on letterhead) is included in the application to verify electricity service and capacity.  </t>
  </si>
  <si>
    <t xml:space="preserve">The amenities are appropriatly geared towards a family tenancy.  Property will include a heath screening area and a community garden.  Although property is not a Senior or Special Needs project, its partial-podium construction will be necessary to provide appropriate tenant and handicap access to all units.  </t>
  </si>
  <si>
    <t>Site is new construction and therefore will not involve rehabilitation of existing structures.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</si>
  <si>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t>
  </si>
  <si>
    <t>Qualification Determination was made by DCA for project team. DCA determined project team to be "Qualified" in 2018.    There have been no changes to the organizational structure or team.  See Qualification Determination in Tab 19 for Information.</t>
  </si>
  <si>
    <t>Applicant provided current compliance history summary, along with good standing letters for all out of state projects and role/interest letters on all projects claimed for experience, in its 2018 pre-application submittal to DCA.  DCA determined project team to be "Qualified" for 2018.</t>
  </si>
  <si>
    <t>Construction loan interest rate is set at 2.75% over One Month LIBOR (currently 1.90875% on 5/1/18) for a total rate of 4.65875%.  
Permanent loan interest rate is set at 6.25% interest rate fixed.  Housing Opportunity Bond unrestricted loan provided by Invest Atlanta is 2nd position debt subordinate to SunTrust primary lien position loan.  Housing Opportunity Bond unrestricted loan is for construction and permanent financing phases, has a term longer than 10 years, is below AFR (2.90% as of May 1, 2018), and is greater than 10% of the Total Development Cost.  As a result the Housing Opportunity Bond unrestricted loan qualifies for 3 points for Favorable Financing.
Total unrestricted permanent financing of $2,000,000 (SunTrust $800,000 and Invest Atlanta $1,200,000) is equal to 16.779% of the total development budget, which exceeds the market rate unit percentage of 16.667% of total units.  Mixed Income communities are a requirement of the Housing Opportunity Bond Loan.</t>
  </si>
  <si>
    <t>Total unrestricted permanent financing of $2,000,000 (SunTrust $800,000 and Invest Atlanta $1,200,000) is equal to 16.779% of the total development budget, which exceeds the market rate unit percentage of 16.667% of total units.  Mixed Income communities are a requirement of the Housing Opportunity Bond Loan.
The development would be an excellent opportunity to leverage resources to meet the housing needs of Atlanta, Georgia.</t>
  </si>
  <si>
    <t>All development team members are experienced in multifamily LIHTC housing.  Project team was deemed "Qualified" by DCA on April 30, 2018 for PA18-069 Abbington on Englewood.  The same development team as was proposed in Abbington on Englewood will comprise the development team for Abbington on Cheshire Bridge.  There have been no changes to the organizational structure since DCA's qualification determination.  
***Request for Waiver of  Project Cap Limitation***
William J. Rea, Jr. as Certifying Entity for Rea Ventures Group, LLC's current year applications (Abbington on Cheshire Bridge &amp; Abbington Ridge) was approached by NWGHA with a partnering opportunity.  At Preapplication NWGHA was deemed "Not Qualified and must Partner with a qualified Certifying Entity" on PA18-070 Altoview Terrace.  As we are currently partnering with NWGHA on two 4% RAD rehabs in Rome, we were the logical choice to partner with them on their 2018 9% applicaiton, Altoview Terrace.  The 2018 QAP states the following under Threshold Criteria (Page 40 of 64):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on Cheshire Bridge and Abbington Ridge respectfully request that DCA waives the Award Limitation of Maximum Ownership /Development Interests (Page 27 of 46 in the QAP Core) of only 2 selected projects, if all three of the applications ultimately would have been selected based on all other QAP criteria.</t>
  </si>
  <si>
    <t xml:space="preserve">City of Atlanta: General Government Capital Outlay Fund- (see legislation 17-O-1061 for purchase of Armand park parcel, total price $399, 853). City of Atlanta and Georgia DOT: Pedestrian Hybrid Beacon located at approximately 2170 Cheshire Bridge Road- GDOT LMIG OSS grant and DPW OOG General Budget (cost estimate: $120,000), City Public Works Improvement schedule 2017-2021 identifies major expansion and upgrade to Morningside Nautre Preserve funded through impact fee/city greenspace general funds. </t>
  </si>
  <si>
    <t>All in process.</t>
  </si>
  <si>
    <t>City of Atlanta and GDOT</t>
  </si>
  <si>
    <t xml:space="preserve">Abbington on Cheshire Bridge is located near the middle of the Cheshire Bridge Road “corridor” in an area seeing multiple redevelopments and improvements. 
Public off-site improvements within ½ mile of the site include: 
•	A pedestrian hybrid beacon (PHB) will be installed approximately 300 ft east of our site entrance at approximately 2170 Cheshire Bridge Road
o	Currently in design and bid with completion late 2018/2019
o	Cost estimated to be: $120,000
o	Source of Funding: GDOT LMIG OSS Grant, DPW OOT General Budget 
•	Armand Park and South Fork Peachtree Creek trail expansion on Armand Drive and along South Fork Peachtree Creek. 
o	Currently under design/construction with completion 2019. 
o	Cost of Armand Park land purchase: $399,853 (November 2017) and South Fork Peachtree creek trail expansion ($2,000,000). 
o	Source of Funding: General Government Capital Outlay Fund 
•	Greenspace expansion and habitat restoration at Morningside Nature Preserve 
o	Funded by City of Atlanta parks and recreation impact fees and identified for completion on the 2017-2021 Public Works Program
o	Cost: $1,000,000 (trailhead aquisition for new pedestrian connections)
o	Cost: $250,000 (continue nature preserve master plan development )
o	Source of Funding: City of Atlanta Department Public works budget 
•	Future MARTA expansion to include a light rail line known as the Clifton Corridor, with a station adjacent to the site. 
o	This is part of a large transit corridor development to be funded by the local sales tax referendum (2016). Currently the light rail is in the Project Development Phase (2017-2020). 
o	Abbington on Cheshire Bridge apartments would be placed into service during the Design and Construction Phase (2020-2024) with rail service to begin in 2025.  Cost estimated to be $504,000,000. </t>
  </si>
  <si>
    <t xml:space="preserve">The Applicant has submitted an proposal which conforms to the 2018 QAP.   All costs for Development and Construction have been carefully underwritten by experienced estimators.  Federal ($0.85) and State ($0.53)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2017 maximum allowable rents as these were what was in effect on January 1, 2018 (per DCA instructions) but the most current utility allowances from Atlanta Housing Authority have been used as those have been confirmed to be in effect on January 1, 2018.  Total Developer Fee and Deferred Developer Fee are within 2018 QAP limits.  This property is ideally situated for a market starving for workforce housing as evidence by the massive public support we recieved in public meetings and the repeated statement of how rare it is for Atlanta to have the opportunity of affordable housing north of I-20 and in such a great school zone as well. </t>
  </si>
  <si>
    <t xml:space="preserve">Abbington on Cheshire Bridge, located at 2070 Cheshire Bridge Road NE, Atlnata, GA 30324, is a proposed 48-unit apartment community for families in the City of Atlanta, GA.  The site is zoned Mixed Residential Commercial with Conditions (MRC-1-C) which allows for the proposed design.  While there are numerous market rate apartment developments under construction in the Buckhead area, there are few new affordable housing rental options.  Neighborhood Planning Unit F, and the Lindberg-Martin Manor Neighborhood Assocation, in whose area this development would be located, have both voted in favor to support this proposed development in recognition of the strong need for affordable housing in this area.  Invest Atlanta has also made a $1.2 million commitment of Housing Opportunity Bond funding to support this development. 
Unit mix will comprise six (6) 1-bedroom/1 bathroom (702 net rentable square feet), eight (8) 2-bedroom/2-bath (974 net rentable square feet), and thirty-four (34) 3-bedroom/2-bath (1,115 net rentable square feet) units in a single multi-story elevator building with interior breezeways.  The development will be mixed-income, with both market-rate rents and below-market affordable rents at levels affordable to families at the 60% to 50% area median income level.     
Amenities will be plentiful at the development to provide many services on site for the convenience of residents.  Common amenities will include a fitness center, a health screening facility, community garden, computer center, community room with kitchenette, laundry facility, and covered porch.  Units will be fully equipped with refrigerator with icemaker, microwave, range top with oven, washer/dryer connections, and ceiling fans in bedrooms and living room.  The development will be Enterprise Green Communities certified.
Excellent site accessibility provides residents a range of mobility options.  Sidewalk connections along Cheshire Bridge Road provide easy walkability to nearby shopping and restaurants.  Multiple MARTA bus transit stops are located in close proximity to the site and several transit hubs (3 or more routes) are located a half-mile north of the site at the Lindberg Road/Cheshire Bridge Road intersection and walkable from the site by existing sidewalk.  Vehicle accessibility is also superior, with Abbingon on Cheshire Bridge located less than a mile from the Interstate-85 and State Route 400 interchange in the heart of mid-town Atlanta. 
The onsite fitness and health care facilities, combined with the community garden and strong pedestrian and transit connectivity, will encourage a health lifestyle among residents.  The furnished community spaces will give residents numerous opportunities to interact and socialize.  The nearby transit stops and transit hubs will reduce dependency on cars and provide a quick and safe travel solution to the residents.  The partnership with a primary care provider will bring doctors to the development on a minimum monthly basis and enable residents to enjoy convenient access to necessary health care services or referrals, with screening and educational costs provided at no additional cost.
Abbington on Cheshire Bridge will accomodate many of DCA’s development scoring priorities.  A minimum of 20% of the total units will have rents set at 50% AMI levels.  As a requirement of the Invest Atlanta Housing Opportunity Bond loan funding, the development will also have a minimum 15% of the total units available at market rents. There are numerous amenities located within either a 1.5-mile or 0.5-mile walking/driving distance from the site, including: Publix grocery; Morningside Nature Preserve park; TMJ Dentist Atlanta; Atlanta Fire-Rescue Station 29; Taquira del Sol restaurant; Chase Bank; Rock Spring Presbyterian Church; U.S. Post Office; and CVS Pharmacy.  The site is also within 1 mile of several MARTA transit hubs located along at least 3 fixed bus routes with daily schedules serving the public no less than 5 days per week.  The development will be certified to 10 points over the minimum in the Enterprise Foundation Green Communities certification program.  A partnership with HomeCare Medicine of Atlanta will allow onsite health screenings and healthy eating initiatives (including use of an onsite community garden) to encourage health lifestyles among residents.  The development is also located in the attendance zones of Garden Hills Elementary, Sutton Middle School, and North Atlanta High School – each of which exceeded the CCRPI performance threshold average (2015-2017).  The site is also within 2 miles of 42,947 jobs according to the “On the Map” census data mapping tool.  The site is in an area governed by an active redevelopment plan and, while located within a Qualified Census tract, the site site is less than ¼ mile from a census tract with less than 10% of persons below the poverty line.  The site is also located in B3 public health cluster.  There is also significant off-site capital investment ongoing in a ½-mile radius from the site that amounts to greater than 10% the project development cost.  DCA has not awarded 9% tax credits within a mile of the site in the past 4 funding rounds.  Invest Atlanta’s award of $1.2 million in Housing Opportunity Bonds as a 30-year 2.0% fixed-rate loan (unrestricted funding below the applicable federal rate) also amounts to more than 10% of the total development cost.
The site is an excellent infill use where all utilities and infrastructure are already in place.   Several market rate apartment developments are in place (or under construction) to the north and west.  Abbington on Cheshire Bridge will provide an excellent opportunity for LIHTC funded housing to provide lower-income families access to the same amenities and superior location typically afforded to higher-end market rate residents.  This development would offer DCA a rare opportunity to introduce an affordable housing option into the high-rent Buckhead market.  As a side note 2 members of Rea Ventures live in NPU-F and and are very excited about the opportunity to support our local community with quality workforce housing.  Another member of Rea Ventures group actually grew up near the proposed site and was instrumental in bringing this project to the current stage.  We are sure DCA will see the potenital impact this project will have on the affordable housing initiative for the City of Atlanta. 
</t>
  </si>
  <si>
    <t>DCA has not funded any LIHTC within the primary market area.  As a result, demand is high for affordable product and capture rates are low.  Market analyst estimates a demand for 1,453 units of affordable housing and an additional need for 2,631 units of market rate, resulting in an overall capture rate of 1.3%.  The overall capture rate for the LIHTC units is 2.8% and the overall capture rate for the market rate units is 0.30%.  Abbington on Cheshire Bridge would be located in Linridge Martin Manner, adjacent to Buckhead and Morningside areas of midtown Atlanta, both high-income area with few new affordable rental housing options.  Low capture rates indicate the development will lease up quickly and help meet a strong demand for affordable housing in the market.  The market study identified 18 market-rate communities in the primary market area and no LIHTC communities in the primary market area.</t>
  </si>
  <si>
    <t>No other significant issues were identified that would pose major obstacles to the proposed development</t>
  </si>
  <si>
    <t>N/Ap</t>
  </si>
  <si>
    <t>Site plan shows all relevant information required by QAP and are produced by Martin Riley Associates.  This is a perfect use for this particular property.</t>
  </si>
  <si>
    <t>Our team has and will continue to facilitie AFFH.  We have evidence of our commitment to AFFH throughout the many states we work in and our consistent track record.</t>
  </si>
  <si>
    <t xml:space="preserve">Residents at Abbington on Cheshire Bridge will enjoy access to a comprehensive Healthy Living Initiative designed to meet known health challenges in the community (Fulton County).  The program consists of four main components:
1. Monthly on-site health screening by primary care physicians
2. Monthly healthy living seminars covering preventive health care and healthy eating practices provided by experienced health care providers
3. Regular use of a fitness facility providing regular on-site fitness instruction
4. Use of an on-site community garden to source healthy produce
The development would employ a part-time Health Services Coordinator (HSC) to coordinate the components of the wellness program, encourage resident participation, serve as a liaison with the health care provider, coordinate fitness services, track resident health results and needs, and provide quarterly reports to the owner and yearly reports to DCA.
The development owner has signed an agreement with Homecare Medicine of Atlanta (HCMA) to provide regular on-site screening as well as regular health care education programs at Abbington on Cheshire Bridge.  HCMA is an Atlanta-based mobile primary care provider with extensive experience providing on-site health care at senior independent living, apartment communities, and assisted living facilities.  A distinguishing factor is its use of primary care doctors, rather than physician assistants, to provide screenings and on-site health care services.  These primary health care providers are able to make referrals as well as provide additional treatment on site as needed.  Monthly health screenings and educational seminars would be provided to residents at minimal cost (less than $15/month) but actual on-site treatment would be handled as an additional service between HCMA and the patient.  For more information, visit www.hcmatl.com or view the overview information accompanying this narrative.
Monthly health screenings would be available at minimal cost to residents (less than $15/month) on a monthly basis and take place in one of two on-site private screening rooms.  Abbington on Cheshire Bridge would cover the majority of the cost of these services as a part of its annual operating expense budget.  Screening options available would include immunizations (minimally including flu shots), diabetes screening, blood pressure screenings, healthy weight and body composition assessments, and general health risk assessments.  Health care provider visits to residents’ homes (if risk factors are identified during a screening) would be at additional cost, as determined between the provider and patient. 
The health screening facility would be built like a typical “doc in a box” center.  Residents would enter a waiting room/reception area that features chairs and informational displays of health-care information.  The bulletin board featuring information on program details of the Healthy Living Challenge initiative would also be displayed in the waiting area.  There would be two private health care rooms accessible from the waiting area.  
Each screening room would be private with a closing door and furnished like a typical patient clinic consultation room with exam table, sink, storage cabinets and counter, and basic medical screening equipment.  Additional medical equipment would be provided by HCMA staff as needed to conduct screenings and consultations.  Some tests that require lab work would be sent off site.  HCMA would provide staff to conduct the screenings at Abbington on Cheshire Bridge on a monthly basis.  If screening tests do identify a concern, HCMA would be able to provide health care providers that would be able to provide limited treatment to residents or refer them to a specialist if needed for further consultation.
The HSC staff person will track and measure health outcomes of residents via a monthly health questionnaire.  These questionnaires will need to be completed by a resident in order to participate in the monthly health screenings or to reserve a community garden plot.  The health questionnaire will ask about a household’s use of the fitness center (frequency gym used, classes taken), visits to a primary care doctor, visits to a specialist doctor, visits to an Emergency Room, number of hospital admissions, and enrollment in Medicare and/or Medicaid.
Monthly seminars would be conducted by the health-care provider in the community room.  Resident participation in a monthly seminar would be tracked by management using an attendance sheet.  Given the identified health needs in Fulton County, these seminars would include a focus on diabetes and heart disease prevention, but would also include other topics such as healthy eating, disease prevention, and common disease symptoms at the request of residents.  Additional topics would be determined based on resident requests and in consultation with property management.   The healthy eating component of the monthly seminars would include determining proper nutrition, help in sourcing affordable healthy food options, and proper food storage, cooking, and cleaning techniques.  
As a part of its agreement, HCMA will provide property management with a range of health care educational materials.   The materials would be organized and made available in a prominent location in common areas such as the community room and fitness center.   HCMA, in association with its network of other health care providers, will also conduct regular monthly on-site health care educational seminars at Abbington on Cheshire Bridge.  These seminars would be conducted in the community room and focus on diabetes and heart disease prevention, but also including other topics such as healthy eating (to include discussion of vegetables and fruits that can be grown at the community garden), disease prevention, and common disease symptoms at the request of residents.  Topics would be determined based on resident requests and in consultation with property management.  HCMA staff would also conduct one-on-one patient education, as appropriate, during the regular health screenings.        
The fitness facility at the development will be well furnished and offer residents numerous opportunities for exercise and fitness in an enlarged on-site fitness center.  In addition to a large work-out space (featuring cardiovascular equipment, free weights, and several multi-station strength training machines), the fitness center will also feature a separate physical instruction space to allow fitness classes to be taught by fitness instructors from local gyms.  Use of the fitness center will be tracked via the “honor system” as part of the questionnaire used by the HSC to book monthly health screening services.  Use of fitness classes will be tracked by the attendance sign up sheet maintained by the HSC, who will also coordinate the type and frequency of the fitness classes.  
The community garden at Abbington on Cheshire Bridge will have multiple raised garden beds, each of which are divided into 2-3 plots.  These plots are available for free and “leased” to residents for a 4-month growing season on a first-come, first-served basis.  The monthly seminars provided by the health care provider would include basic instruction in healthy food identification including fruits and vegetables that could be planted and grown at the community garden.  Management, coordinated through the part-time Health Services Coordinator, will also refer residents to local resources (such as an agricultural extension office) for tips in successful garden maintenance and crop selection.  
A large bulletin board will be prominently displayed in the waiting room of the health screening facility.  This bulleting board will allow the HSC to maintain standard information outlining residents’ opportunities under the healthy living and healthy program.  This ongoing display will raise visibility of the program as well as encourage others to participate.
The HSC would be responsible for assessing residents’ health needs, making appropriate referrals to service providers, serve as liaison with the health services provider, administer the participation incentives program, and compile and submit quarterly health reports to the owner and annual health reports to DCA.  These reports would include information on usage of the health services, performance of the incentives program, and generalized information (so as to protect privacy) on resident visits to doctors.
Abbington on Cheshire Bridge connects to an extensive sidewalk network along a major thoroughfare (Cheshire Bridge Road), putting residents in easy walking distance of numerous restaurants and shops.  The site is also located near multiple MARTA bus stops, encouraging residents to use public transit and thereby walk more frequently to get to their destinations.
The Healthy Living Initiative at Abbington on Cheshire Bridge would be extensive, tying together community infrastructure, fitness and medical space, and regular on-site medical screenings, educational seminars, and consultations.  Regular use of these amenities, and thereby regular healthy living choices, will be encouraged.  The intended result is a superb and sustainable quality of life for residents with nearly all the resources necessary to screen for, prevent, and access treatment to live a long and healthy life.     
</t>
  </si>
  <si>
    <t xml:space="preserve">Abbington on Cheshire Bridge is located within a 1.5-mile driving/walking distance (rural) of the following amenities: Publix grocery; Georgia Department of Community Affairs; Morningside Nature Preserve park; TMJ Dentist Atlanta; Atlanta Fire-Rescue Station 29; Taquira del Sol restaurant; Chase Bank; Rock Spring Presbyterian Church; U.S. Post Office; and CVS Pharmacy.  Of these amenities, several are also located within a half-mile walking/driving distance from the development site: Morningside Nature Preserve park; Taquira del Sol restaurant; and CVS Pharmacy.  Therefore, Abbington on Cheshire Bridge is eligible for a total of 13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on Cheshire Bridge is Publix Supermarket located 0.8 mile from the site.  There are no undesirable activities or characterisitics observed within a 0.25-mile radius from the site.  </t>
  </si>
  <si>
    <t xml:space="preserve">Health Screenings (flu shots, diabetes, blood pressure), Healthy Weigth and Body Assessments, General Risk Assessments, Depression/Abuse Counseling        </t>
  </si>
  <si>
    <t>Fitness Center and Fitness Classes</t>
  </si>
  <si>
    <t>Community Garden</t>
  </si>
  <si>
    <t xml:space="preserve">    • Other: Describe here</t>
  </si>
  <si>
    <t>Health Services Coordinator referrals to agricultural extension office for growing tips.</t>
  </si>
  <si>
    <t xml:space="preserve">Development has received an award from Invest Atlanta (a government entity) of $1,200,000 in Housing Opportunity Bonds loan funds.  This loan is set at a fixed interest rate of 2.0%, which is below AFR and is for a term of 30 years, which exceeds the minimum required period of 10 years.  This amount also represents greater than 10% of the total development cost.  It is also classified by Invest Atlanta as unrestricited funding that can be used to pay for the costs associated with market rate and affordable units.  Therefore, these funds qualify as favorable financing per the 2018 QAP and are eligible for the full 3 points.  </t>
  </si>
  <si>
    <t>2018-046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</si>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</sst>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u/>
      <sz val="10"/>
      <color theme="11"/>
      <name val="Arial"/>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45">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cellStyleXfs>
  <cellXfs count="37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8" fillId="0" borderId="0" xfId="0" applyFont="1" applyFill="1" applyBorder="1" applyProtection="1"/>
    <xf numFmtId="0" fontId="185"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0"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43" fontId="45" fillId="5" borderId="28" xfId="1" applyNumberFormat="1" applyFont="1" applyFill="1" applyBorder="1" applyAlignment="1" applyProtection="1">
      <alignment horizontal="right" vertical="center"/>
    </xf>
    <xf numFmtId="43" fontId="45" fillId="5" borderId="30" xfId="1" applyNumberFormat="1" applyFont="1" applyFill="1" applyBorder="1" applyAlignment="1" applyProtection="1">
      <alignment horizontal="right" vertical="center"/>
    </xf>
    <xf numFmtId="43" fontId="45" fillId="5" borderId="11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3" fontId="45" fillId="5" borderId="36" xfId="1"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43" fontId="45" fillId="5" borderId="33" xfId="1" applyNumberFormat="1" applyFont="1" applyFill="1" applyBorder="1" applyAlignment="1" applyProtection="1">
      <alignment horizontal="right"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45">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RMULA" xfId="19" xr:uid="{00000000-0005-0000-0000-000014000000}"/>
    <cellStyle name="Grey" xfId="3" xr:uid="{00000000-0005-0000-0000-000015000000}"/>
    <cellStyle name="Header1" xfId="4" xr:uid="{00000000-0005-0000-0000-000016000000}"/>
    <cellStyle name="Header2" xfId="5" xr:uid="{00000000-0005-0000-0000-000017000000}"/>
    <cellStyle name="Header2 2" xfId="31" xr:uid="{00000000-0005-0000-0000-000018000000}"/>
    <cellStyle name="HIDE" xfId="20" xr:uid="{00000000-0005-0000-0000-000019000000}"/>
    <cellStyle name="Hyperlink" xfId="6" builtinId="8"/>
    <cellStyle name="Input [yellow]" xfId="7" xr:uid="{00000000-0005-0000-0000-00001B000000}"/>
    <cellStyle name="Input [yellow] 2" xfId="32" xr:uid="{00000000-0005-0000-0000-00001C000000}"/>
    <cellStyle name="LINK" xfId="21" xr:uid="{00000000-0005-0000-0000-00001D000000}"/>
    <cellStyle name="no dec" xfId="22" xr:uid="{00000000-0005-0000-0000-00001E000000}"/>
    <cellStyle name="Nor@„l_IRRSENS" xfId="23" xr:uid="{00000000-0005-0000-0000-00001F000000}"/>
    <cellStyle name="Normal" xfId="0" builtinId="0"/>
    <cellStyle name="Normal - Style1" xfId="8" xr:uid="{00000000-0005-0000-0000-000021000000}"/>
    <cellStyle name="Normal 2" xfId="12" xr:uid="{00000000-0005-0000-0000-000022000000}"/>
    <cellStyle name="Normal 3" xfId="13" xr:uid="{00000000-0005-0000-0000-000023000000}"/>
    <cellStyle name="Normal 4" xfId="24" xr:uid="{00000000-0005-0000-0000-000024000000}"/>
    <cellStyle name="Normal 5" xfId="30" xr:uid="{00000000-0005-0000-0000-000025000000}"/>
    <cellStyle name="Normal_'96-'97 Rent Tables" xfId="9" xr:uid="{00000000-0005-0000-0000-000026000000}"/>
    <cellStyle name="Notes" xfId="25" xr:uid="{00000000-0005-0000-0000-000027000000}"/>
    <cellStyle name="OVERWRITE" xfId="26" xr:uid="{00000000-0005-0000-0000-000028000000}"/>
    <cellStyle name="Percent" xfId="10" builtinId="5"/>
    <cellStyle name="Percent [2]" xfId="11" xr:uid="{00000000-0005-0000-0000-00002A000000}"/>
    <cellStyle name="Percent 2" xfId="27" xr:uid="{00000000-0005-0000-0000-00002B000000}"/>
    <cellStyle name="Percent 3" xfId="29" xr:uid="{00000000-0005-0000-0000-00002C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914" t="s">
        <v>988</v>
      </c>
    </row>
    <row r="2" spans="1:6" ht="15" customHeight="1">
      <c r="A2" s="915" t="str">
        <f>'Part I-Project Information'!F34</f>
        <v>Abbington on Cheshire Bridge</v>
      </c>
    </row>
    <row r="3" spans="1:6" ht="15" customHeight="1">
      <c r="A3" s="915" t="str">
        <f>CONCATENATE('Part I-Project Information'!F38,", ", 'Part I-Project Information'!J39," County")</f>
        <v>Atlanta, Fulton County</v>
      </c>
    </row>
    <row r="4" spans="1:6" ht="12" customHeight="1"/>
    <row r="5" spans="1:6" ht="111" customHeight="1">
      <c r="A5" s="2896" t="s">
        <v>4728</v>
      </c>
      <c r="B5" s="1619" t="s">
        <v>2930</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I19lsdE1ShyPaJlTtzscMWxXDTcjAdVhzBbDpvkmW2OGAMJvRrDfdFH/6LfwAJa6JoMV8n0sK+5/inZ2Cm07EQ==" saltValue="wZ8H+mca04MXaDBi0b5Lo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headerFooter>
    <oddHeader>&amp;L&amp;8Georgia Department of Community Affairs&amp;C2018 Funding Application&amp;R&amp;8Housing Finance and Development Division</oddHeader>
    <oddFooter>&amp;L&amp;8Project Narrative&amp;C&amp;8&amp;F&amp;R&amp;8&amp;P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O6" zoomScale="150" zoomScaleNormal="150" zoomScalePageLayoutView="150"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42578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42578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1737" t="str">
        <f>CONCATENATE("PART SIX - PROJECTED REVENUES &amp; EXPENSES","  -  ",'Part I-Project Information'!$O$6," ",'Part I-Project Information'!$F$34,", ",'Part I-Project Information'!F38,", ",'Part I-Project Information'!J39," County")</f>
        <v>PART SIX - PROJECTED REVENUES &amp; EXPENSES  -  2018-046 Abbington on Cheshire Bridge, Atlanta, Fulton County</v>
      </c>
      <c r="B1" s="1738"/>
      <c r="C1" s="1738"/>
      <c r="D1" s="1738"/>
      <c r="E1" s="1738"/>
      <c r="F1" s="1738"/>
      <c r="G1" s="1738"/>
      <c r="H1" s="1738"/>
      <c r="I1" s="1738"/>
      <c r="J1" s="1738"/>
      <c r="K1" s="1738"/>
      <c r="L1" s="1738"/>
      <c r="M1" s="1738"/>
      <c r="N1" s="1738"/>
      <c r="O1" s="1738"/>
      <c r="P1" s="1739"/>
      <c r="U1" s="1883" t="str">
        <f>A1</f>
        <v>PART SIX - PROJECTED REVENUES &amp; EXPENSES  -  2018-046 Abbington on Cheshire Bridge, Atlanta, Fulton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3726</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1879" t="str">
        <f>IF(A48&gt;0,"Finish Row!","")</f>
        <v>Finish Row!</v>
      </c>
      <c r="B5" s="4" t="s">
        <v>1860</v>
      </c>
      <c r="D5" s="1"/>
      <c r="E5" s="4"/>
      <c r="F5" s="1"/>
      <c r="G5" s="3237"/>
      <c r="H5" s="1126"/>
      <c r="I5" s="1585" t="s">
        <v>806</v>
      </c>
      <c r="J5" s="1585" t="s">
        <v>3588</v>
      </c>
      <c r="K5" s="1881" t="s">
        <v>4550</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1879"/>
      <c r="B6" s="30" t="s">
        <v>1818</v>
      </c>
      <c r="D6" s="1"/>
      <c r="E6" s="4"/>
      <c r="F6" s="3238" t="s">
        <v>3014</v>
      </c>
      <c r="G6" s="1585" t="s">
        <v>3690</v>
      </c>
      <c r="H6" s="1873" t="s">
        <v>3919</v>
      </c>
      <c r="I6" s="1585" t="s">
        <v>807</v>
      </c>
      <c r="J6" s="1585" t="s">
        <v>3693</v>
      </c>
      <c r="K6" s="1882"/>
      <c r="L6" s="1882"/>
      <c r="M6" s="1874" t="str">
        <f>'Part I-Project Information'!$O$40</f>
        <v>Atlanta-Sandy Springs-Marietta</v>
      </c>
      <c r="N6" s="1874"/>
      <c r="O6" s="928">
        <f>VLOOKUP('Part I-Project Information'!$O$40,'DCA Underwriting Assumptions'!$C$155:$D$265,2)</f>
        <v>69700</v>
      </c>
      <c r="P6" s="1873"/>
      <c r="Q6" s="1583"/>
      <c r="R6" s="97"/>
      <c r="S6" s="1875" t="s">
        <v>2716</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3878</v>
      </c>
      <c r="J7" s="1585" t="s">
        <v>3694</v>
      </c>
      <c r="K7" s="919"/>
      <c r="L7" s="919"/>
      <c r="M7" s="1"/>
      <c r="P7" s="1873"/>
      <c r="Q7" s="1583"/>
      <c r="R7" s="919"/>
      <c r="S7" s="920"/>
      <c r="T7" s="925" t="s">
        <v>2713</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2422</v>
      </c>
      <c r="K8" s="1876" t="s">
        <v>146</v>
      </c>
      <c r="L8" s="1876"/>
      <c r="M8" s="1585" t="s">
        <v>2383</v>
      </c>
      <c r="N8" s="1585" t="s">
        <v>537</v>
      </c>
      <c r="O8" s="1585" t="s">
        <v>385</v>
      </c>
      <c r="P8" s="1873"/>
      <c r="Q8" s="1876" t="s">
        <v>3598</v>
      </c>
      <c r="R8" s="1876"/>
      <c r="S8" s="1585" t="s">
        <v>2712</v>
      </c>
      <c r="T8" s="1585" t="s">
        <v>2714</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2715</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39" t="s">
        <v>1784</v>
      </c>
      <c r="C10" s="3240"/>
      <c r="D10" s="3241"/>
      <c r="E10" s="3242"/>
      <c r="F10" s="3242"/>
      <c r="G10" s="3242"/>
      <c r="H10" s="3242"/>
      <c r="I10" s="3243">
        <v>0</v>
      </c>
      <c r="J10" s="3244"/>
      <c r="K10" s="629">
        <f t="shared" ref="K10:K47" si="1">MAX(0,H10-I10)</f>
        <v>0</v>
      </c>
      <c r="L10" s="629">
        <f t="shared" ref="L10:L47" si="2">MAX(0,E10*K10)</f>
        <v>0</v>
      </c>
      <c r="M10" s="3245"/>
      <c r="N10" s="3245"/>
      <c r="O10" s="3245"/>
      <c r="P10" s="3246"/>
      <c r="Q10" s="3247" t="str">
        <f t="shared" ref="Q10:Q47" si="3">IF(H10="","",H10*12/0.3)</f>
        <v/>
      </c>
      <c r="R10" s="3248" t="str">
        <f>IF(H10="","",IF(C10="Efficiency",Q10/($O$6*VLOOKUP(0,'DCA Underwriting Assumptions'!$J$143:$K$148,2,FALSE)),Q10/($O$6*VLOOKUP(C10,'DCA Underwriting Assumptions'!$J$143:$K$148,2,FALSE))))</f>
        <v/>
      </c>
      <c r="S10" s="3249"/>
      <c r="T10" s="3250"/>
      <c r="U10" s="3215"/>
      <c r="V10" s="321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1" t="s">
        <v>1159</v>
      </c>
      <c r="C11" s="3252">
        <v>1</v>
      </c>
      <c r="D11" s="3253">
        <v>1</v>
      </c>
      <c r="E11" s="3254">
        <v>1</v>
      </c>
      <c r="F11" s="3254">
        <v>702</v>
      </c>
      <c r="G11" s="3254">
        <v>784</v>
      </c>
      <c r="H11" s="3254">
        <v>774</v>
      </c>
      <c r="I11" s="3255">
        <f>IF(C11="",0,HLOOKUP(C11,'Part V-Utility Allowances'!$I$11:$M$21,11))</f>
        <v>157</v>
      </c>
      <c r="J11" s="3256"/>
      <c r="K11" s="630">
        <f t="shared" si="1"/>
        <v>617</v>
      </c>
      <c r="L11" s="630">
        <f t="shared" si="2"/>
        <v>617</v>
      </c>
      <c r="M11" s="3257" t="s">
        <v>3014</v>
      </c>
      <c r="N11" s="3257" t="s">
        <v>4622</v>
      </c>
      <c r="O11" s="3257" t="s">
        <v>2311</v>
      </c>
      <c r="P11" s="3258" t="s">
        <v>3014</v>
      </c>
      <c r="Q11" s="3259">
        <f t="shared" si="3"/>
        <v>30960</v>
      </c>
      <c r="R11" s="3260">
        <f>IF(H11="","",IF(C11="Efficiency",Q11/($O$6*VLOOKUP(0,'DCA Underwriting Assumptions'!$J$143:$K$148,2,FALSE)),Q11/($O$6*VLOOKUP(C11,'DCA Underwriting Assumptions'!$J$143:$K$148,2,FALSE))))</f>
        <v>0.59225251076040175</v>
      </c>
      <c r="S11" s="3261"/>
      <c r="T11" s="3262"/>
      <c r="U11" s="3217"/>
      <c r="V11" s="3218"/>
      <c r="W11" s="152" t="str">
        <f t="shared" si="4"/>
        <v/>
      </c>
      <c r="X11" s="152">
        <f t="shared" si="5"/>
        <v>1</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702</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1</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1</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1</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1</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1" t="s">
        <v>119</v>
      </c>
      <c r="C12" s="3252">
        <v>1</v>
      </c>
      <c r="D12" s="3253">
        <v>1</v>
      </c>
      <c r="E12" s="3254">
        <v>5</v>
      </c>
      <c r="F12" s="3254">
        <v>702</v>
      </c>
      <c r="G12" s="3254">
        <v>653</v>
      </c>
      <c r="H12" s="3254">
        <v>643</v>
      </c>
      <c r="I12" s="3255">
        <f>IF(C12="",0,HLOOKUP(C12,'Part V-Utility Allowances'!$I$11:$M$21,11))</f>
        <v>157</v>
      </c>
      <c r="J12" s="3256"/>
      <c r="K12" s="630">
        <f t="shared" si="1"/>
        <v>486</v>
      </c>
      <c r="L12" s="630">
        <f t="shared" si="2"/>
        <v>2430</v>
      </c>
      <c r="M12" s="3257" t="s">
        <v>3014</v>
      </c>
      <c r="N12" s="3257" t="s">
        <v>4622</v>
      </c>
      <c r="O12" s="3257" t="s">
        <v>2311</v>
      </c>
      <c r="P12" s="3258" t="s">
        <v>3014</v>
      </c>
      <c r="Q12" s="3259">
        <f t="shared" si="3"/>
        <v>25720</v>
      </c>
      <c r="R12" s="3260">
        <f>IF(H12="","",IF(C12="Efficiency",Q12/($O$6*VLOOKUP(0,'DCA Underwriting Assumptions'!$J$143:$K$148,2,FALSE)),Q12/($O$6*VLOOKUP(C12,'DCA Underwriting Assumptions'!$J$143:$K$148,2,FALSE))))</f>
        <v>0.49201339072214251</v>
      </c>
      <c r="S12" s="3261"/>
      <c r="T12" s="3262"/>
      <c r="U12" s="3217"/>
      <c r="V12" s="3218"/>
      <c r="W12" s="152" t="str">
        <f t="shared" si="4"/>
        <v/>
      </c>
      <c r="X12" s="152" t="str">
        <f t="shared" si="5"/>
        <v/>
      </c>
      <c r="Y12" s="152" t="str">
        <f t="shared" si="6"/>
        <v/>
      </c>
      <c r="Z12" s="152" t="str">
        <f t="shared" si="7"/>
        <v/>
      </c>
      <c r="AA12" s="152" t="str">
        <f t="shared" si="8"/>
        <v/>
      </c>
      <c r="AB12" s="152" t="str">
        <f t="shared" si="9"/>
        <v/>
      </c>
      <c r="AC12" s="152">
        <f t="shared" si="10"/>
        <v>5</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f t="shared" si="65"/>
        <v>3510</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5</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5</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5</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5</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1" t="s">
        <v>1784</v>
      </c>
      <c r="C13" s="3252"/>
      <c r="D13" s="3253"/>
      <c r="E13" s="3254"/>
      <c r="F13" s="3254"/>
      <c r="G13" s="3254"/>
      <c r="H13" s="3254"/>
      <c r="I13" s="3255">
        <f>IF(C13="",0,HLOOKUP(C13,'Part V-Utility Allowances'!$I$11:$M$21,11))</f>
        <v>0</v>
      </c>
      <c r="J13" s="3256"/>
      <c r="K13" s="630">
        <f t="shared" si="1"/>
        <v>0</v>
      </c>
      <c r="L13" s="630">
        <f t="shared" si="2"/>
        <v>0</v>
      </c>
      <c r="M13" s="3257"/>
      <c r="N13" s="3257"/>
      <c r="O13" s="3257"/>
      <c r="P13" s="3258"/>
      <c r="Q13" s="3259" t="str">
        <f t="shared" si="3"/>
        <v/>
      </c>
      <c r="R13" s="3260" t="str">
        <f>IF(H13="","",IF(C13="Efficiency",Q13/($O$6*VLOOKUP(0,'DCA Underwriting Assumptions'!$J$143:$K$148,2,FALSE)),Q13/($O$6*VLOOKUP(C13,'DCA Underwriting Assumptions'!$J$143:$K$148,2,FALSE))))</f>
        <v/>
      </c>
      <c r="S13" s="3261"/>
      <c r="T13" s="3262"/>
      <c r="U13" s="3217"/>
      <c r="V13" s="3218"/>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1" t="s">
        <v>1784</v>
      </c>
      <c r="C14" s="3252"/>
      <c r="D14" s="3253"/>
      <c r="E14" s="3254"/>
      <c r="F14" s="3254"/>
      <c r="G14" s="3254"/>
      <c r="H14" s="3254"/>
      <c r="I14" s="3255">
        <f>IF(C14="",0,HLOOKUP(C14,'Part V-Utility Allowances'!$I$11:$M$21,11))</f>
        <v>0</v>
      </c>
      <c r="J14" s="3256"/>
      <c r="K14" s="630">
        <f t="shared" si="1"/>
        <v>0</v>
      </c>
      <c r="L14" s="630">
        <f t="shared" si="2"/>
        <v>0</v>
      </c>
      <c r="M14" s="3257"/>
      <c r="N14" s="3257"/>
      <c r="O14" s="3257"/>
      <c r="P14" s="3258"/>
      <c r="Q14" s="3259" t="str">
        <f t="shared" si="3"/>
        <v/>
      </c>
      <c r="R14" s="3260" t="str">
        <f>IF(H14="","",IF(C14="Efficiency",Q14/($O$6*VLOOKUP(0,'DCA Underwriting Assumptions'!$J$143:$K$148,2,FALSE)),Q14/($O$6*VLOOKUP(C14,'DCA Underwriting Assumptions'!$J$143:$K$148,2,FALSE))))</f>
        <v/>
      </c>
      <c r="S14" s="3261"/>
      <c r="T14" s="3262"/>
      <c r="U14" s="3217"/>
      <c r="V14" s="3218"/>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1" t="s">
        <v>1784</v>
      </c>
      <c r="C15" s="3252"/>
      <c r="D15" s="3253"/>
      <c r="E15" s="3254"/>
      <c r="F15" s="3254"/>
      <c r="G15" s="3254"/>
      <c r="H15" s="3254"/>
      <c r="I15" s="3255">
        <f>IF(C15="",0,HLOOKUP(C15,'Part V-Utility Allowances'!$I$11:$M$21,11))</f>
        <v>0</v>
      </c>
      <c r="J15" s="3256"/>
      <c r="K15" s="630">
        <f t="shared" si="1"/>
        <v>0</v>
      </c>
      <c r="L15" s="630">
        <f t="shared" si="2"/>
        <v>0</v>
      </c>
      <c r="M15" s="3257"/>
      <c r="N15" s="3257"/>
      <c r="O15" s="3257"/>
      <c r="P15" s="3258"/>
      <c r="Q15" s="3259" t="str">
        <f t="shared" si="3"/>
        <v/>
      </c>
      <c r="R15" s="3260" t="str">
        <f>IF(H15="","",IF(C15="Efficiency",Q15/($O$6*VLOOKUP(0,'DCA Underwriting Assumptions'!$J$143:$K$148,2,FALSE)),Q15/($O$6*VLOOKUP(C15,'DCA Underwriting Assumptions'!$J$143:$K$148,2,FALSE))))</f>
        <v/>
      </c>
      <c r="S15" s="3261"/>
      <c r="T15" s="3262"/>
      <c r="U15" s="3217"/>
      <c r="V15" s="3218"/>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1" t="s">
        <v>1784</v>
      </c>
      <c r="C16" s="3252"/>
      <c r="D16" s="3253"/>
      <c r="E16" s="3254"/>
      <c r="F16" s="3254"/>
      <c r="G16" s="3254"/>
      <c r="H16" s="3254"/>
      <c r="I16" s="3255">
        <f>IF(C16="",0,HLOOKUP(C16,'Part V-Utility Allowances'!$I$11:$M$21,11))</f>
        <v>0</v>
      </c>
      <c r="J16" s="3256"/>
      <c r="K16" s="630">
        <f t="shared" si="1"/>
        <v>0</v>
      </c>
      <c r="L16" s="630">
        <f t="shared" si="2"/>
        <v>0</v>
      </c>
      <c r="M16" s="3257"/>
      <c r="N16" s="3257"/>
      <c r="O16" s="3257"/>
      <c r="P16" s="3258"/>
      <c r="Q16" s="3259" t="str">
        <f t="shared" si="3"/>
        <v/>
      </c>
      <c r="R16" s="3260" t="str">
        <f>IF(H16="","",IF(C16="Efficiency",Q16/($O$6*VLOOKUP(0,'DCA Underwriting Assumptions'!$J$143:$K$148,2,FALSE)),Q16/($O$6*VLOOKUP(C16,'DCA Underwriting Assumptions'!$J$143:$K$148,2,FALSE))))</f>
        <v/>
      </c>
      <c r="S16" s="3261"/>
      <c r="T16" s="3262"/>
      <c r="U16" s="3217"/>
      <c r="V16" s="3218"/>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f t="shared" si="0"/>
        <v>1</v>
      </c>
      <c r="B17" s="3251" t="s">
        <v>305</v>
      </c>
      <c r="C17" s="3252">
        <v>2</v>
      </c>
      <c r="D17" s="3253">
        <v>2</v>
      </c>
      <c r="E17" s="3254">
        <v>2</v>
      </c>
      <c r="F17" s="3254">
        <v>974</v>
      </c>
      <c r="G17" s="3254"/>
      <c r="H17" s="3254">
        <v>942</v>
      </c>
      <c r="I17" s="3255">
        <v>0</v>
      </c>
      <c r="J17" s="3256"/>
      <c r="K17" s="630">
        <f t="shared" si="1"/>
        <v>942</v>
      </c>
      <c r="L17" s="630">
        <f t="shared" si="2"/>
        <v>1884</v>
      </c>
      <c r="M17" s="3257" t="s">
        <v>3014</v>
      </c>
      <c r="N17" s="3257" t="s">
        <v>4622</v>
      </c>
      <c r="O17" s="3257" t="s">
        <v>2311</v>
      </c>
      <c r="P17" s="3258" t="s">
        <v>3014</v>
      </c>
      <c r="Q17" s="3259">
        <f t="shared" si="3"/>
        <v>37680</v>
      </c>
      <c r="R17" s="3260">
        <f>IF(H17="","",IF(C17="Efficiency",Q17/($O$6*VLOOKUP(0,'DCA Underwriting Assumptions'!$J$143:$K$148,2,FALSE)),Q17/($O$6*VLOOKUP(C17,'DCA Underwriting Assumptions'!$J$143:$K$148,2,FALSE))))</f>
        <v>0.60066953610712581</v>
      </c>
      <c r="S17" s="3261"/>
      <c r="T17" s="3262"/>
      <c r="U17" s="3217"/>
      <c r="V17" s="3218"/>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2</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1948</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2</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2</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f t="shared" si="211"/>
        <v>2</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2</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1" t="s">
        <v>1159</v>
      </c>
      <c r="C18" s="3252">
        <v>2</v>
      </c>
      <c r="D18" s="3253">
        <v>2</v>
      </c>
      <c r="E18" s="3254">
        <v>4</v>
      </c>
      <c r="F18" s="3254">
        <v>974</v>
      </c>
      <c r="G18" s="3254">
        <v>942</v>
      </c>
      <c r="H18" s="3254">
        <v>932</v>
      </c>
      <c r="I18" s="3255">
        <f>IF(C18="",0,HLOOKUP(C18,'Part V-Utility Allowances'!$I$11:$M$21,11))</f>
        <v>226</v>
      </c>
      <c r="J18" s="3256"/>
      <c r="K18" s="630">
        <f t="shared" si="1"/>
        <v>706</v>
      </c>
      <c r="L18" s="630">
        <f t="shared" si="2"/>
        <v>2824</v>
      </c>
      <c r="M18" s="3257" t="s">
        <v>3014</v>
      </c>
      <c r="N18" s="3257" t="s">
        <v>4622</v>
      </c>
      <c r="O18" s="3257" t="s">
        <v>2311</v>
      </c>
      <c r="P18" s="3258" t="s">
        <v>3014</v>
      </c>
      <c r="Q18" s="3259">
        <f t="shared" si="3"/>
        <v>37280</v>
      </c>
      <c r="R18" s="3260">
        <f>IF(H18="","",IF(C18="Efficiency",Q18/($O$6*VLOOKUP(0,'DCA Underwriting Assumptions'!$J$143:$K$148,2,FALSE)),Q18/($O$6*VLOOKUP(C18,'DCA Underwriting Assumptions'!$J$143:$K$148,2,FALSE))))</f>
        <v>0.59429300175354693</v>
      </c>
      <c r="S18" s="3261"/>
      <c r="T18" s="3262"/>
      <c r="U18" s="3217"/>
      <c r="V18" s="3218"/>
      <c r="W18" s="152" t="str">
        <f t="shared" si="4"/>
        <v/>
      </c>
      <c r="X18" s="152" t="str">
        <f t="shared" si="5"/>
        <v/>
      </c>
      <c r="Y18" s="152">
        <f t="shared" si="6"/>
        <v>4</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f t="shared" si="61"/>
        <v>3896</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f t="shared" si="91"/>
        <v>4</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f t="shared" si="136"/>
        <v>4</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f t="shared" si="211"/>
        <v>4</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4</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1" t="s">
        <v>119</v>
      </c>
      <c r="C19" s="3252">
        <v>2</v>
      </c>
      <c r="D19" s="3253">
        <v>2</v>
      </c>
      <c r="E19" s="3254">
        <v>2</v>
      </c>
      <c r="F19" s="3254">
        <v>974</v>
      </c>
      <c r="G19" s="3254">
        <v>785</v>
      </c>
      <c r="H19" s="3254">
        <v>775</v>
      </c>
      <c r="I19" s="3255">
        <f>IF(C19="",0,HLOOKUP(C19,'Part V-Utility Allowances'!$I$11:$M$21,11))</f>
        <v>226</v>
      </c>
      <c r="J19" s="3256"/>
      <c r="K19" s="630">
        <f t="shared" si="1"/>
        <v>549</v>
      </c>
      <c r="L19" s="630">
        <f t="shared" si="2"/>
        <v>1098</v>
      </c>
      <c r="M19" s="3257" t="s">
        <v>3014</v>
      </c>
      <c r="N19" s="3257" t="s">
        <v>4622</v>
      </c>
      <c r="O19" s="3257" t="s">
        <v>2311</v>
      </c>
      <c r="P19" s="3258" t="s">
        <v>3014</v>
      </c>
      <c r="Q19" s="3259">
        <f t="shared" si="3"/>
        <v>31000</v>
      </c>
      <c r="R19" s="3260">
        <f>IF(H19="","",IF(C19="Efficiency",Q19/($O$6*VLOOKUP(0,'DCA Underwriting Assumptions'!$J$143:$K$148,2,FALSE)),Q19/($O$6*VLOOKUP(C19,'DCA Underwriting Assumptions'!$J$143:$K$148,2,FALSE))))</f>
        <v>0.4941814124023593</v>
      </c>
      <c r="S19" s="3261"/>
      <c r="T19" s="3262"/>
      <c r="U19" s="3217"/>
      <c r="V19" s="3218"/>
      <c r="W19" s="152" t="str">
        <f t="shared" si="4"/>
        <v/>
      </c>
      <c r="X19" s="152" t="str">
        <f t="shared" si="5"/>
        <v/>
      </c>
      <c r="Y19" s="152" t="str">
        <f t="shared" si="6"/>
        <v/>
      </c>
      <c r="Z19" s="152" t="str">
        <f t="shared" si="7"/>
        <v/>
      </c>
      <c r="AA19" s="152" t="str">
        <f t="shared" si="8"/>
        <v/>
      </c>
      <c r="AB19" s="152" t="str">
        <f t="shared" si="9"/>
        <v/>
      </c>
      <c r="AC19" s="152" t="str">
        <f t="shared" si="10"/>
        <v/>
      </c>
      <c r="AD19" s="152">
        <f t="shared" si="11"/>
        <v>2</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f t="shared" si="66"/>
        <v>1948</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f t="shared" si="91"/>
        <v>2</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f t="shared" si="136"/>
        <v>2</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f t="shared" si="211"/>
        <v>2</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2</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1" t="s">
        <v>1784</v>
      </c>
      <c r="C20" s="3252"/>
      <c r="D20" s="3253"/>
      <c r="E20" s="3254"/>
      <c r="F20" s="3254"/>
      <c r="G20" s="3254"/>
      <c r="H20" s="3254"/>
      <c r="I20" s="3255">
        <f>IF(C20="",0,HLOOKUP(C20,'Part V-Utility Allowances'!$I$11:$M$21,11))</f>
        <v>0</v>
      </c>
      <c r="J20" s="3256"/>
      <c r="K20" s="630">
        <f t="shared" si="1"/>
        <v>0</v>
      </c>
      <c r="L20" s="630">
        <f t="shared" si="2"/>
        <v>0</v>
      </c>
      <c r="M20" s="3257"/>
      <c r="N20" s="3257"/>
      <c r="O20" s="3257"/>
      <c r="P20" s="3258"/>
      <c r="Q20" s="3259" t="str">
        <f t="shared" si="3"/>
        <v/>
      </c>
      <c r="R20" s="3260" t="str">
        <f>IF(H20="","",IF(C20="Efficiency",Q20/($O$6*VLOOKUP(0,'DCA Underwriting Assumptions'!$J$143:$K$148,2,FALSE)),Q20/($O$6*VLOOKUP(C20,'DCA Underwriting Assumptions'!$J$143:$K$148,2,FALSE))))</f>
        <v/>
      </c>
      <c r="S20" s="3261"/>
      <c r="T20" s="3262"/>
      <c r="U20" s="3217"/>
      <c r="V20" s="321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1" t="s">
        <v>1784</v>
      </c>
      <c r="C21" s="3252"/>
      <c r="D21" s="3253"/>
      <c r="E21" s="3254"/>
      <c r="F21" s="3254"/>
      <c r="G21" s="3254"/>
      <c r="H21" s="3254"/>
      <c r="I21" s="3255">
        <f>IF(C21="",0,HLOOKUP(C21,'Part V-Utility Allowances'!$I$11:$M$21,11))</f>
        <v>0</v>
      </c>
      <c r="J21" s="3256"/>
      <c r="K21" s="630">
        <f t="shared" si="1"/>
        <v>0</v>
      </c>
      <c r="L21" s="630">
        <f t="shared" si="2"/>
        <v>0</v>
      </c>
      <c r="M21" s="3257"/>
      <c r="N21" s="3257"/>
      <c r="O21" s="3257"/>
      <c r="P21" s="3258"/>
      <c r="Q21" s="3259" t="str">
        <f t="shared" si="3"/>
        <v/>
      </c>
      <c r="R21" s="3260" t="str">
        <f>IF(H21="","",IF(C21="Efficiency",Q21/($O$6*VLOOKUP(0,'DCA Underwriting Assumptions'!$J$143:$K$148,2,FALSE)),Q21/($O$6*VLOOKUP(C21,'DCA Underwriting Assumptions'!$J$143:$K$148,2,FALSE))))</f>
        <v/>
      </c>
      <c r="S21" s="3261"/>
      <c r="T21" s="3262"/>
      <c r="U21" s="3217"/>
      <c r="V21" s="321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1" t="s">
        <v>1784</v>
      </c>
      <c r="C22" s="3252"/>
      <c r="D22" s="3253"/>
      <c r="E22" s="3254"/>
      <c r="F22" s="3254"/>
      <c r="G22" s="3254"/>
      <c r="H22" s="3254"/>
      <c r="I22" s="3255">
        <f>IF(C22="",0,HLOOKUP(C22,'Part V-Utility Allowances'!$I$11:$M$21,11))</f>
        <v>0</v>
      </c>
      <c r="J22" s="3256"/>
      <c r="K22" s="630">
        <f t="shared" si="1"/>
        <v>0</v>
      </c>
      <c r="L22" s="630">
        <f t="shared" si="2"/>
        <v>0</v>
      </c>
      <c r="M22" s="3257"/>
      <c r="N22" s="3257"/>
      <c r="O22" s="3257"/>
      <c r="P22" s="3258"/>
      <c r="Q22" s="3259" t="str">
        <f t="shared" si="3"/>
        <v/>
      </c>
      <c r="R22" s="3260" t="str">
        <f>IF(H22="","",IF(C22="Efficiency",Q22/($O$6*VLOOKUP(0,'DCA Underwriting Assumptions'!$J$143:$K$148,2,FALSE)),Q22/($O$6*VLOOKUP(C22,'DCA Underwriting Assumptions'!$J$143:$K$148,2,FALSE))))</f>
        <v/>
      </c>
      <c r="S22" s="3261"/>
      <c r="T22" s="3262"/>
      <c r="U22" s="3217"/>
      <c r="V22" s="321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1" t="s">
        <v>1784</v>
      </c>
      <c r="C23" s="3252"/>
      <c r="D23" s="3253"/>
      <c r="E23" s="3254"/>
      <c r="F23" s="3254"/>
      <c r="G23" s="3254"/>
      <c r="H23" s="3254"/>
      <c r="I23" s="3255">
        <f>IF(C23="",0,HLOOKUP(C23,'Part V-Utility Allowances'!$I$11:$M$21,11))</f>
        <v>0</v>
      </c>
      <c r="J23" s="3256"/>
      <c r="K23" s="630">
        <f t="shared" si="1"/>
        <v>0</v>
      </c>
      <c r="L23" s="630">
        <f t="shared" si="2"/>
        <v>0</v>
      </c>
      <c r="M23" s="3257"/>
      <c r="N23" s="3257"/>
      <c r="O23" s="3257"/>
      <c r="P23" s="3258"/>
      <c r="Q23" s="3259" t="str">
        <f t="shared" si="3"/>
        <v/>
      </c>
      <c r="R23" s="3260" t="str">
        <f>IF(H23="","",IF(C23="Efficiency",Q23/($O$6*VLOOKUP(0,'DCA Underwriting Assumptions'!$J$143:$K$148,2,FALSE)),Q23/($O$6*VLOOKUP(C23,'DCA Underwriting Assumptions'!$J$143:$K$148,2,FALSE))))</f>
        <v/>
      </c>
      <c r="S23" s="3261"/>
      <c r="T23" s="3262"/>
      <c r="U23" s="3217"/>
      <c r="V23" s="321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f t="shared" si="0"/>
        <v>1</v>
      </c>
      <c r="B24" s="3251" t="s">
        <v>305</v>
      </c>
      <c r="C24" s="3252">
        <v>3</v>
      </c>
      <c r="D24" s="3253">
        <v>2</v>
      </c>
      <c r="E24" s="3254">
        <v>6</v>
      </c>
      <c r="F24" s="3254">
        <v>1115</v>
      </c>
      <c r="G24" s="3254"/>
      <c r="H24" s="3254">
        <v>1087</v>
      </c>
      <c r="I24" s="3255">
        <v>0</v>
      </c>
      <c r="J24" s="3256"/>
      <c r="K24" s="630">
        <f t="shared" si="1"/>
        <v>1087</v>
      </c>
      <c r="L24" s="630">
        <f t="shared" si="2"/>
        <v>6522</v>
      </c>
      <c r="M24" s="3257" t="s">
        <v>3014</v>
      </c>
      <c r="N24" s="3257" t="s">
        <v>4622</v>
      </c>
      <c r="O24" s="3257" t="s">
        <v>2311</v>
      </c>
      <c r="P24" s="3258" t="s">
        <v>3014</v>
      </c>
      <c r="Q24" s="3259">
        <f t="shared" si="3"/>
        <v>43480</v>
      </c>
      <c r="R24" s="3260">
        <f>IF(H24="","",IF(C24="Efficiency",Q24/($O$6*VLOOKUP(0,'DCA Underwriting Assumptions'!$J$143:$K$148,2,FALSE)),Q24/($O$6*VLOOKUP(C24,'DCA Underwriting Assumptions'!$J$143:$K$148,2,FALSE))))</f>
        <v>0.59982341904867009</v>
      </c>
      <c r="S24" s="3261"/>
      <c r="T24" s="3262"/>
      <c r="U24" s="3217"/>
      <c r="V24" s="321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f t="shared" si="22"/>
        <v>6</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f t="shared" si="77"/>
        <v>6690</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f t="shared" si="97"/>
        <v>6</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f t="shared" si="137"/>
        <v>6</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f t="shared" si="212"/>
        <v>6</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6</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1" t="s">
        <v>1159</v>
      </c>
      <c r="C25" s="3252">
        <v>3</v>
      </c>
      <c r="D25" s="3253">
        <v>2</v>
      </c>
      <c r="E25" s="3254">
        <v>23</v>
      </c>
      <c r="F25" s="3254">
        <v>1115</v>
      </c>
      <c r="G25" s="3254">
        <v>1087</v>
      </c>
      <c r="H25" s="3254">
        <v>1077</v>
      </c>
      <c r="I25" s="3255">
        <f>IF(C25="",0,HLOOKUP(C25,'Part V-Utility Allowances'!$I$11:$M$21,11))</f>
        <v>300</v>
      </c>
      <c r="J25" s="3256"/>
      <c r="K25" s="630">
        <f t="shared" si="1"/>
        <v>777</v>
      </c>
      <c r="L25" s="630">
        <f t="shared" si="2"/>
        <v>17871</v>
      </c>
      <c r="M25" s="3257" t="s">
        <v>3014</v>
      </c>
      <c r="N25" s="3257" t="s">
        <v>4622</v>
      </c>
      <c r="O25" s="3257" t="s">
        <v>2311</v>
      </c>
      <c r="P25" s="3258" t="s">
        <v>3014</v>
      </c>
      <c r="Q25" s="3259">
        <f t="shared" si="3"/>
        <v>43080</v>
      </c>
      <c r="R25" s="3260">
        <f>IF(H25="","",IF(C25="Efficiency",Q25/($O$6*VLOOKUP(0,'DCA Underwriting Assumptions'!$J$143:$K$148,2,FALSE)),Q25/($O$6*VLOOKUP(C25,'DCA Underwriting Assumptions'!$J$143:$K$148,2,FALSE))))</f>
        <v>0.5943052643196115</v>
      </c>
      <c r="S25" s="3261"/>
      <c r="T25" s="3262"/>
      <c r="U25" s="3217"/>
      <c r="V25" s="3218"/>
      <c r="W25" s="152" t="str">
        <f t="shared" si="4"/>
        <v/>
      </c>
      <c r="X25" s="152" t="str">
        <f t="shared" si="5"/>
        <v/>
      </c>
      <c r="Y25" s="152" t="str">
        <f t="shared" si="6"/>
        <v/>
      </c>
      <c r="Z25" s="152">
        <f t="shared" si="7"/>
        <v>23</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f t="shared" si="62"/>
        <v>25645</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f t="shared" si="92"/>
        <v>23</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f t="shared" si="137"/>
        <v>23</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f t="shared" si="212"/>
        <v>23</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23</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1" t="s">
        <v>119</v>
      </c>
      <c r="C26" s="3252">
        <v>3</v>
      </c>
      <c r="D26" s="3253">
        <v>2</v>
      </c>
      <c r="E26" s="3254">
        <v>5</v>
      </c>
      <c r="F26" s="3254">
        <v>1115</v>
      </c>
      <c r="G26" s="3254">
        <v>906</v>
      </c>
      <c r="H26" s="3254">
        <v>896</v>
      </c>
      <c r="I26" s="3255">
        <f>IF(C26="",0,HLOOKUP(C26,'Part V-Utility Allowances'!$I$11:$M$21,11))</f>
        <v>300</v>
      </c>
      <c r="J26" s="3256"/>
      <c r="K26" s="630">
        <f t="shared" si="1"/>
        <v>596</v>
      </c>
      <c r="L26" s="630">
        <f t="shared" si="2"/>
        <v>2980</v>
      </c>
      <c r="M26" s="3257" t="s">
        <v>3014</v>
      </c>
      <c r="N26" s="3257" t="s">
        <v>4622</v>
      </c>
      <c r="O26" s="3257" t="s">
        <v>2311</v>
      </c>
      <c r="P26" s="3258" t="s">
        <v>3014</v>
      </c>
      <c r="Q26" s="3259">
        <f t="shared" si="3"/>
        <v>35840</v>
      </c>
      <c r="R26" s="3260">
        <f>IF(H26="","",IF(C26="Efficiency",Q26/($O$6*VLOOKUP(0,'DCA Underwriting Assumptions'!$J$143:$K$148,2,FALSE)),Q26/($O$6*VLOOKUP(C26,'DCA Underwriting Assumptions'!$J$143:$K$148,2,FALSE))))</f>
        <v>0.49442666372365079</v>
      </c>
      <c r="S26" s="3261"/>
      <c r="T26" s="3262"/>
      <c r="U26" s="3217"/>
      <c r="V26" s="321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f t="shared" si="12"/>
        <v>5</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f t="shared" si="67"/>
        <v>5575</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f t="shared" si="92"/>
        <v>5</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f t="shared" si="137"/>
        <v>5</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f t="shared" si="212"/>
        <v>5</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5</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1" t="s">
        <v>1784</v>
      </c>
      <c r="C27" s="3252"/>
      <c r="D27" s="3253"/>
      <c r="E27" s="3254"/>
      <c r="F27" s="3254"/>
      <c r="G27" s="3254"/>
      <c r="H27" s="3254"/>
      <c r="I27" s="3255">
        <f>IF(C27="",0,HLOOKUP(C27,'Part V-Utility Allowances'!$I$11:$M$21,11))</f>
        <v>0</v>
      </c>
      <c r="J27" s="3256"/>
      <c r="K27" s="630">
        <f t="shared" si="1"/>
        <v>0</v>
      </c>
      <c r="L27" s="630">
        <f t="shared" si="2"/>
        <v>0</v>
      </c>
      <c r="M27" s="3257"/>
      <c r="N27" s="3257"/>
      <c r="O27" s="3257"/>
      <c r="P27" s="3258"/>
      <c r="Q27" s="3259" t="str">
        <f t="shared" si="3"/>
        <v/>
      </c>
      <c r="R27" s="3260" t="str">
        <f>IF(H27="","",IF(C27="Efficiency",Q27/($O$6*VLOOKUP(0,'DCA Underwriting Assumptions'!$J$143:$K$148,2,FALSE)),Q27/($O$6*VLOOKUP(C27,'DCA Underwriting Assumptions'!$J$143:$K$148,2,FALSE))))</f>
        <v/>
      </c>
      <c r="S27" s="3261"/>
      <c r="T27" s="3262"/>
      <c r="U27" s="3217"/>
      <c r="V27" s="321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1" t="s">
        <v>1784</v>
      </c>
      <c r="C28" s="3252"/>
      <c r="D28" s="3253"/>
      <c r="E28" s="3254"/>
      <c r="F28" s="3254"/>
      <c r="G28" s="3254"/>
      <c r="H28" s="3254"/>
      <c r="I28" s="3255">
        <f>IF(C28="",0,HLOOKUP(C28,'Part V-Utility Allowances'!$I$11:$M$21,11))</f>
        <v>0</v>
      </c>
      <c r="J28" s="3256"/>
      <c r="K28" s="630">
        <f t="shared" si="1"/>
        <v>0</v>
      </c>
      <c r="L28" s="630">
        <f t="shared" si="2"/>
        <v>0</v>
      </c>
      <c r="M28" s="3257"/>
      <c r="N28" s="3257"/>
      <c r="O28" s="3257"/>
      <c r="P28" s="3258"/>
      <c r="Q28" s="3259" t="str">
        <f t="shared" si="3"/>
        <v/>
      </c>
      <c r="R28" s="3260" t="str">
        <f>IF(H28="","",IF(C28="Efficiency",Q28/($O$6*VLOOKUP(0,'DCA Underwriting Assumptions'!$J$143:$K$148,2,FALSE)),Q28/($O$6*VLOOKUP(C28,'DCA Underwriting Assumptions'!$J$143:$K$148,2,FALSE))))</f>
        <v/>
      </c>
      <c r="S28" s="3261"/>
      <c r="T28" s="3262"/>
      <c r="U28" s="3217"/>
      <c r="V28" s="321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1" t="s">
        <v>1784</v>
      </c>
      <c r="C29" s="3252"/>
      <c r="D29" s="3253"/>
      <c r="E29" s="3254"/>
      <c r="F29" s="3254"/>
      <c r="G29" s="3254"/>
      <c r="H29" s="3254"/>
      <c r="I29" s="3255">
        <f>IF(C29="",0,HLOOKUP(C29,'Part V-Utility Allowances'!$I$11:$M$21,11))</f>
        <v>0</v>
      </c>
      <c r="J29" s="3256"/>
      <c r="K29" s="630">
        <f t="shared" si="1"/>
        <v>0</v>
      </c>
      <c r="L29" s="630">
        <f t="shared" si="2"/>
        <v>0</v>
      </c>
      <c r="M29" s="3257"/>
      <c r="N29" s="3257"/>
      <c r="O29" s="3257"/>
      <c r="P29" s="3258"/>
      <c r="Q29" s="3259" t="str">
        <f t="shared" si="3"/>
        <v/>
      </c>
      <c r="R29" s="3260" t="str">
        <f>IF(H29="","",IF(C29="Efficiency",Q29/($O$6*VLOOKUP(0,'DCA Underwriting Assumptions'!$J$143:$K$148,2,FALSE)),Q29/($O$6*VLOOKUP(C29,'DCA Underwriting Assumptions'!$J$143:$K$148,2,FALSE))))</f>
        <v/>
      </c>
      <c r="S29" s="3261"/>
      <c r="T29" s="3262"/>
      <c r="U29" s="3217"/>
      <c r="V29" s="321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1" t="s">
        <v>1784</v>
      </c>
      <c r="C30" s="3252"/>
      <c r="D30" s="3253"/>
      <c r="E30" s="3254"/>
      <c r="F30" s="3254"/>
      <c r="G30" s="3254"/>
      <c r="H30" s="3254"/>
      <c r="I30" s="3255">
        <f>IF(C30="",0,HLOOKUP(C30,'Part V-Utility Allowances'!$I$11:$M$21,11))</f>
        <v>0</v>
      </c>
      <c r="J30" s="3256"/>
      <c r="K30" s="630">
        <f t="shared" si="1"/>
        <v>0</v>
      </c>
      <c r="L30" s="630">
        <f t="shared" si="2"/>
        <v>0</v>
      </c>
      <c r="M30" s="3257"/>
      <c r="N30" s="3257"/>
      <c r="O30" s="3257"/>
      <c r="P30" s="3258"/>
      <c r="Q30" s="3259" t="str">
        <f t="shared" si="3"/>
        <v/>
      </c>
      <c r="R30" s="3260" t="str">
        <f>IF(H30="","",IF(C30="Efficiency",Q30/($O$6*VLOOKUP(0,'DCA Underwriting Assumptions'!$J$143:$K$148,2,FALSE)),Q30/($O$6*VLOOKUP(C30,'DCA Underwriting Assumptions'!$J$143:$K$148,2,FALSE))))</f>
        <v/>
      </c>
      <c r="S30" s="3261"/>
      <c r="T30" s="3262"/>
      <c r="U30" s="3217"/>
      <c r="V30" s="321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1" t="s">
        <v>1784</v>
      </c>
      <c r="C31" s="3252"/>
      <c r="D31" s="3253"/>
      <c r="E31" s="3254"/>
      <c r="F31" s="3254"/>
      <c r="G31" s="3254"/>
      <c r="H31" s="3254"/>
      <c r="I31" s="3255">
        <f>IF(C31="",0,HLOOKUP(C31,'Part V-Utility Allowances'!$I$11:$M$21,11))</f>
        <v>0</v>
      </c>
      <c r="J31" s="3256"/>
      <c r="K31" s="630">
        <f t="shared" si="1"/>
        <v>0</v>
      </c>
      <c r="L31" s="630">
        <f t="shared" si="2"/>
        <v>0</v>
      </c>
      <c r="M31" s="3257"/>
      <c r="N31" s="3257"/>
      <c r="O31" s="3257"/>
      <c r="P31" s="3258"/>
      <c r="Q31" s="3259" t="str">
        <f t="shared" si="3"/>
        <v/>
      </c>
      <c r="R31" s="3260" t="str">
        <f>IF(H31="","",IF(C31="Efficiency",Q31/($O$6*VLOOKUP(0,'DCA Underwriting Assumptions'!$J$143:$K$148,2,FALSE)),Q31/($O$6*VLOOKUP(C31,'DCA Underwriting Assumptions'!$J$143:$K$148,2,FALSE))))</f>
        <v/>
      </c>
      <c r="S31" s="3261"/>
      <c r="T31" s="3262"/>
      <c r="U31" s="3217"/>
      <c r="V31" s="321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1" t="s">
        <v>1784</v>
      </c>
      <c r="C32" s="3252"/>
      <c r="D32" s="3253"/>
      <c r="E32" s="3254"/>
      <c r="F32" s="3254"/>
      <c r="G32" s="3254"/>
      <c r="H32" s="3254"/>
      <c r="I32" s="3255">
        <f>IF(C32="",0,HLOOKUP(C32,'Part V-Utility Allowances'!$I$11:$M$21,11))</f>
        <v>0</v>
      </c>
      <c r="J32" s="3256"/>
      <c r="K32" s="630">
        <f t="shared" si="1"/>
        <v>0</v>
      </c>
      <c r="L32" s="630">
        <f t="shared" si="2"/>
        <v>0</v>
      </c>
      <c r="M32" s="3257"/>
      <c r="N32" s="3257"/>
      <c r="O32" s="3257"/>
      <c r="P32" s="3258"/>
      <c r="Q32" s="3259" t="str">
        <f t="shared" si="3"/>
        <v/>
      </c>
      <c r="R32" s="3260" t="str">
        <f>IF(H32="","",IF(C32="Efficiency",Q32/($O$6*VLOOKUP(0,'DCA Underwriting Assumptions'!$J$143:$K$148,2,FALSE)),Q32/($O$6*VLOOKUP(C32,'DCA Underwriting Assumptions'!$J$143:$K$148,2,FALSE))))</f>
        <v/>
      </c>
      <c r="S32" s="3261"/>
      <c r="T32" s="3262"/>
      <c r="U32" s="3217"/>
      <c r="V32" s="321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1" t="s">
        <v>1784</v>
      </c>
      <c r="C33" s="3252"/>
      <c r="D33" s="3253"/>
      <c r="E33" s="3254"/>
      <c r="F33" s="3254"/>
      <c r="G33" s="3254"/>
      <c r="H33" s="3254"/>
      <c r="I33" s="3255">
        <f>IF(C33="",0,HLOOKUP(C33,'Part V-Utility Allowances'!$I$11:$M$21,11))</f>
        <v>0</v>
      </c>
      <c r="J33" s="3256"/>
      <c r="K33" s="630">
        <f t="shared" si="1"/>
        <v>0</v>
      </c>
      <c r="L33" s="630">
        <f t="shared" si="2"/>
        <v>0</v>
      </c>
      <c r="M33" s="3257"/>
      <c r="N33" s="3257"/>
      <c r="O33" s="3257"/>
      <c r="P33" s="3258"/>
      <c r="Q33" s="3259" t="str">
        <f t="shared" si="3"/>
        <v/>
      </c>
      <c r="R33" s="3260" t="str">
        <f>IF(H33="","",IF(C33="Efficiency",Q33/($O$6*VLOOKUP(0,'DCA Underwriting Assumptions'!$J$143:$K$148,2,FALSE)),Q33/($O$6*VLOOKUP(C33,'DCA Underwriting Assumptions'!$J$143:$K$148,2,FALSE))))</f>
        <v/>
      </c>
      <c r="S33" s="3261"/>
      <c r="T33" s="3262"/>
      <c r="U33" s="3217"/>
      <c r="V33" s="321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1" t="s">
        <v>1784</v>
      </c>
      <c r="C34" s="3252"/>
      <c r="D34" s="3253"/>
      <c r="E34" s="3254"/>
      <c r="F34" s="3254"/>
      <c r="G34" s="3254"/>
      <c r="H34" s="3254"/>
      <c r="I34" s="3255">
        <f>IF(C34="",0,HLOOKUP(C34,'Part V-Utility Allowances'!$I$11:$M$21,11))</f>
        <v>0</v>
      </c>
      <c r="J34" s="3256"/>
      <c r="K34" s="630">
        <f t="shared" si="1"/>
        <v>0</v>
      </c>
      <c r="L34" s="630">
        <f t="shared" si="2"/>
        <v>0</v>
      </c>
      <c r="M34" s="3257"/>
      <c r="N34" s="3257"/>
      <c r="O34" s="3257"/>
      <c r="P34" s="3258"/>
      <c r="Q34" s="3259" t="str">
        <f t="shared" si="3"/>
        <v/>
      </c>
      <c r="R34" s="3260" t="str">
        <f>IF(H34="","",IF(C34="Efficiency",Q34/($O$6*VLOOKUP(0,'DCA Underwriting Assumptions'!$J$143:$K$148,2,FALSE)),Q34/($O$6*VLOOKUP(C34,'DCA Underwriting Assumptions'!$J$143:$K$148,2,FALSE))))</f>
        <v/>
      </c>
      <c r="S34" s="3261"/>
      <c r="T34" s="3262"/>
      <c r="U34" s="3217"/>
      <c r="V34" s="321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1" t="s">
        <v>1784</v>
      </c>
      <c r="C35" s="3252"/>
      <c r="D35" s="3253"/>
      <c r="E35" s="3254"/>
      <c r="F35" s="3254"/>
      <c r="G35" s="3254"/>
      <c r="H35" s="3254"/>
      <c r="I35" s="3255">
        <f>IF(C35="",0,HLOOKUP(C35,'Part V-Utility Allowances'!$I$11:$M$21,11))</f>
        <v>0</v>
      </c>
      <c r="J35" s="3256"/>
      <c r="K35" s="630">
        <f t="shared" si="1"/>
        <v>0</v>
      </c>
      <c r="L35" s="630">
        <f t="shared" si="2"/>
        <v>0</v>
      </c>
      <c r="M35" s="3257"/>
      <c r="N35" s="3257"/>
      <c r="O35" s="3257"/>
      <c r="P35" s="3258"/>
      <c r="Q35" s="3259" t="str">
        <f t="shared" si="3"/>
        <v/>
      </c>
      <c r="R35" s="3260" t="str">
        <f>IF(H35="","",IF(C35="Efficiency",Q35/($O$6*VLOOKUP(0,'DCA Underwriting Assumptions'!$J$143:$K$148,2,FALSE)),Q35/($O$6*VLOOKUP(C35,'DCA Underwriting Assumptions'!$J$143:$K$148,2,FALSE))))</f>
        <v/>
      </c>
      <c r="S35" s="3261"/>
      <c r="T35" s="3262"/>
      <c r="U35" s="3217"/>
      <c r="V35" s="321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1" t="s">
        <v>1784</v>
      </c>
      <c r="C36" s="3252"/>
      <c r="D36" s="3253"/>
      <c r="E36" s="3254"/>
      <c r="F36" s="3254"/>
      <c r="G36" s="3254"/>
      <c r="H36" s="3254"/>
      <c r="I36" s="3255">
        <f>IF(C36="",0,HLOOKUP(C36,'Part V-Utility Allowances'!$I$11:$M$21,11))</f>
        <v>0</v>
      </c>
      <c r="J36" s="3256"/>
      <c r="K36" s="630">
        <f t="shared" si="1"/>
        <v>0</v>
      </c>
      <c r="L36" s="630">
        <f t="shared" si="2"/>
        <v>0</v>
      </c>
      <c r="M36" s="3257"/>
      <c r="N36" s="3257"/>
      <c r="O36" s="3257"/>
      <c r="P36" s="3258"/>
      <c r="Q36" s="3259" t="str">
        <f t="shared" si="3"/>
        <v/>
      </c>
      <c r="R36" s="3260" t="str">
        <f>IF(H36="","",IF(C36="Efficiency",Q36/($O$6*VLOOKUP(0,'DCA Underwriting Assumptions'!$J$143:$K$148,2,FALSE)),Q36/($O$6*VLOOKUP(C36,'DCA Underwriting Assumptions'!$J$143:$K$148,2,FALSE))))</f>
        <v/>
      </c>
      <c r="S36" s="3261"/>
      <c r="T36" s="3262"/>
      <c r="U36" s="3217"/>
      <c r="V36" s="321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1" t="s">
        <v>1784</v>
      </c>
      <c r="C37" s="3252"/>
      <c r="D37" s="3253"/>
      <c r="E37" s="3254"/>
      <c r="F37" s="3254"/>
      <c r="G37" s="3254"/>
      <c r="H37" s="3254"/>
      <c r="I37" s="3255">
        <f>IF(C37="",0,HLOOKUP(C37,'Part V-Utility Allowances'!$I$11:$M$21,11))</f>
        <v>0</v>
      </c>
      <c r="J37" s="3256"/>
      <c r="K37" s="630">
        <f t="shared" si="1"/>
        <v>0</v>
      </c>
      <c r="L37" s="630">
        <f t="shared" si="2"/>
        <v>0</v>
      </c>
      <c r="M37" s="3257"/>
      <c r="N37" s="3257"/>
      <c r="O37" s="3257"/>
      <c r="P37" s="3258"/>
      <c r="Q37" s="3259" t="str">
        <f t="shared" si="3"/>
        <v/>
      </c>
      <c r="R37" s="3260" t="str">
        <f>IF(H37="","",IF(C37="Efficiency",Q37/($O$6*VLOOKUP(0,'DCA Underwriting Assumptions'!$J$143:$K$148,2,FALSE)),Q37/($O$6*VLOOKUP(C37,'DCA Underwriting Assumptions'!$J$143:$K$148,2,FALSE))))</f>
        <v/>
      </c>
      <c r="S37" s="3261"/>
      <c r="T37" s="3262"/>
      <c r="U37" s="3217"/>
      <c r="V37" s="321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1" t="s">
        <v>1784</v>
      </c>
      <c r="C38" s="3252"/>
      <c r="D38" s="3253"/>
      <c r="E38" s="3254"/>
      <c r="F38" s="3254"/>
      <c r="G38" s="3254"/>
      <c r="H38" s="3254"/>
      <c r="I38" s="3255">
        <f>IF(C38="",0,HLOOKUP(C38,'Part V-Utility Allowances'!$I$11:$M$21,11))</f>
        <v>0</v>
      </c>
      <c r="J38" s="3256"/>
      <c r="K38" s="630">
        <f t="shared" si="1"/>
        <v>0</v>
      </c>
      <c r="L38" s="630">
        <f t="shared" si="2"/>
        <v>0</v>
      </c>
      <c r="M38" s="3257"/>
      <c r="N38" s="3257"/>
      <c r="O38" s="3257"/>
      <c r="P38" s="3258"/>
      <c r="Q38" s="3259" t="str">
        <f t="shared" si="3"/>
        <v/>
      </c>
      <c r="R38" s="3260" t="str">
        <f>IF(H38="","",IF(C38="Efficiency",Q38/($O$6*VLOOKUP(0,'DCA Underwriting Assumptions'!$J$143:$K$148,2,FALSE)),Q38/($O$6*VLOOKUP(C38,'DCA Underwriting Assumptions'!$J$143:$K$148,2,FALSE))))</f>
        <v/>
      </c>
      <c r="S38" s="3261"/>
      <c r="T38" s="3262"/>
      <c r="U38" s="3217"/>
      <c r="V38" s="321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1" t="s">
        <v>1784</v>
      </c>
      <c r="C39" s="3252"/>
      <c r="D39" s="3253"/>
      <c r="E39" s="3254"/>
      <c r="F39" s="3254"/>
      <c r="G39" s="3254"/>
      <c r="H39" s="3254"/>
      <c r="I39" s="3255">
        <f>IF(C39="",0,HLOOKUP(C39,'Part V-Utility Allowances'!$I$11:$M$21,11))</f>
        <v>0</v>
      </c>
      <c r="J39" s="3256"/>
      <c r="K39" s="630">
        <f t="shared" si="1"/>
        <v>0</v>
      </c>
      <c r="L39" s="630">
        <f t="shared" si="2"/>
        <v>0</v>
      </c>
      <c r="M39" s="3257"/>
      <c r="N39" s="3257"/>
      <c r="O39" s="3257"/>
      <c r="P39" s="3258"/>
      <c r="Q39" s="3259" t="str">
        <f t="shared" si="3"/>
        <v/>
      </c>
      <c r="R39" s="3260" t="str">
        <f>IF(H39="","",IF(C39="Efficiency",Q39/($O$6*VLOOKUP(0,'DCA Underwriting Assumptions'!$J$143:$K$148,2,FALSE)),Q39/($O$6*VLOOKUP(C39,'DCA Underwriting Assumptions'!$J$143:$K$148,2,FALSE))))</f>
        <v/>
      </c>
      <c r="S39" s="3261"/>
      <c r="T39" s="3262"/>
      <c r="U39" s="3217"/>
      <c r="V39" s="321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1" t="s">
        <v>1784</v>
      </c>
      <c r="C40" s="3252"/>
      <c r="D40" s="3253"/>
      <c r="E40" s="3254"/>
      <c r="F40" s="3254"/>
      <c r="G40" s="3254"/>
      <c r="H40" s="3254"/>
      <c r="I40" s="3255">
        <f>IF(C40="",0,HLOOKUP(C40,'Part V-Utility Allowances'!$I$11:$M$21,11))</f>
        <v>0</v>
      </c>
      <c r="J40" s="3256"/>
      <c r="K40" s="630">
        <f t="shared" si="1"/>
        <v>0</v>
      </c>
      <c r="L40" s="630">
        <f t="shared" si="2"/>
        <v>0</v>
      </c>
      <c r="M40" s="3257"/>
      <c r="N40" s="3257"/>
      <c r="O40" s="3257"/>
      <c r="P40" s="3258"/>
      <c r="Q40" s="3259" t="str">
        <f t="shared" si="3"/>
        <v/>
      </c>
      <c r="R40" s="3260" t="str">
        <f>IF(H40="","",IF(C40="Efficiency",Q40/($O$6*VLOOKUP(0,'DCA Underwriting Assumptions'!$J$143:$K$148,2,FALSE)),Q40/($O$6*VLOOKUP(C40,'DCA Underwriting Assumptions'!$J$143:$K$148,2,FALSE))))</f>
        <v/>
      </c>
      <c r="S40" s="3261"/>
      <c r="T40" s="3262"/>
      <c r="U40" s="3217"/>
      <c r="V40" s="321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1" t="s">
        <v>1784</v>
      </c>
      <c r="C41" s="3252"/>
      <c r="D41" s="3253"/>
      <c r="E41" s="3254"/>
      <c r="F41" s="3254"/>
      <c r="G41" s="3254"/>
      <c r="H41" s="3254"/>
      <c r="I41" s="3255">
        <f>IF(C41="",0,HLOOKUP(C41,'Part V-Utility Allowances'!$I$11:$M$21,11))</f>
        <v>0</v>
      </c>
      <c r="J41" s="3256"/>
      <c r="K41" s="630">
        <f t="shared" si="1"/>
        <v>0</v>
      </c>
      <c r="L41" s="630">
        <f t="shared" si="2"/>
        <v>0</v>
      </c>
      <c r="M41" s="3257"/>
      <c r="N41" s="3257"/>
      <c r="O41" s="3257"/>
      <c r="P41" s="3258"/>
      <c r="Q41" s="3259" t="str">
        <f t="shared" si="3"/>
        <v/>
      </c>
      <c r="R41" s="3260" t="str">
        <f>IF(H41="","",IF(C41="Efficiency",Q41/($O$6*VLOOKUP(0,'DCA Underwriting Assumptions'!$J$143:$K$148,2,FALSE)),Q41/($O$6*VLOOKUP(C41,'DCA Underwriting Assumptions'!$J$143:$K$148,2,FALSE))))</f>
        <v/>
      </c>
      <c r="S41" s="3261"/>
      <c r="T41" s="3262"/>
      <c r="U41" s="3217"/>
      <c r="V41" s="321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1" t="s">
        <v>1784</v>
      </c>
      <c r="C42" s="3252"/>
      <c r="D42" s="3253"/>
      <c r="E42" s="3254"/>
      <c r="F42" s="3254"/>
      <c r="G42" s="3254"/>
      <c r="H42" s="3254"/>
      <c r="I42" s="3255">
        <f>IF(C42="",0,HLOOKUP(C42,'Part V-Utility Allowances'!$I$11:$M$21,11))</f>
        <v>0</v>
      </c>
      <c r="J42" s="3256"/>
      <c r="K42" s="630">
        <f t="shared" si="1"/>
        <v>0</v>
      </c>
      <c r="L42" s="630">
        <f t="shared" si="2"/>
        <v>0</v>
      </c>
      <c r="M42" s="3257"/>
      <c r="N42" s="3257"/>
      <c r="O42" s="3257"/>
      <c r="P42" s="3258"/>
      <c r="Q42" s="3259" t="str">
        <f t="shared" si="3"/>
        <v/>
      </c>
      <c r="R42" s="3260" t="str">
        <f>IF(H42="","",IF(C42="Efficiency",Q42/($O$6*VLOOKUP(0,'DCA Underwriting Assumptions'!$J$143:$K$148,2,FALSE)),Q42/($O$6*VLOOKUP(C42,'DCA Underwriting Assumptions'!$J$143:$K$148,2,FALSE))))</f>
        <v/>
      </c>
      <c r="S42" s="3261"/>
      <c r="T42" s="3262"/>
      <c r="U42" s="3217"/>
      <c r="V42" s="321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1" t="s">
        <v>1784</v>
      </c>
      <c r="C43" s="3252"/>
      <c r="D43" s="3253"/>
      <c r="E43" s="3254"/>
      <c r="F43" s="3254"/>
      <c r="G43" s="3254"/>
      <c r="H43" s="3254"/>
      <c r="I43" s="3255">
        <f>IF(C43="",0,HLOOKUP(C43,'Part V-Utility Allowances'!$I$11:$M$21,11))</f>
        <v>0</v>
      </c>
      <c r="J43" s="3256"/>
      <c r="K43" s="630">
        <f t="shared" si="1"/>
        <v>0</v>
      </c>
      <c r="L43" s="630">
        <f t="shared" si="2"/>
        <v>0</v>
      </c>
      <c r="M43" s="3257"/>
      <c r="N43" s="3257"/>
      <c r="O43" s="3257"/>
      <c r="P43" s="3258"/>
      <c r="Q43" s="3259" t="str">
        <f t="shared" si="3"/>
        <v/>
      </c>
      <c r="R43" s="3260" t="str">
        <f>IF(H43="","",IF(C43="Efficiency",Q43/($O$6*VLOOKUP(0,'DCA Underwriting Assumptions'!$J$143:$K$148,2,FALSE)),Q43/($O$6*VLOOKUP(C43,'DCA Underwriting Assumptions'!$J$143:$K$148,2,FALSE))))</f>
        <v/>
      </c>
      <c r="S43" s="3261"/>
      <c r="T43" s="3262"/>
      <c r="U43" s="3217"/>
      <c r="V43" s="321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1" t="s">
        <v>1784</v>
      </c>
      <c r="C44" s="3252"/>
      <c r="D44" s="3253"/>
      <c r="E44" s="3254"/>
      <c r="F44" s="3254"/>
      <c r="G44" s="3254"/>
      <c r="H44" s="3254"/>
      <c r="I44" s="3255">
        <f>IF(C44="",0,HLOOKUP(C44,'Part V-Utility Allowances'!$I$11:$M$21,11))</f>
        <v>0</v>
      </c>
      <c r="J44" s="3256"/>
      <c r="K44" s="630">
        <f t="shared" si="1"/>
        <v>0</v>
      </c>
      <c r="L44" s="630">
        <f t="shared" si="2"/>
        <v>0</v>
      </c>
      <c r="M44" s="3257"/>
      <c r="N44" s="3257"/>
      <c r="O44" s="3257"/>
      <c r="P44" s="3258"/>
      <c r="Q44" s="3259" t="str">
        <f t="shared" si="3"/>
        <v/>
      </c>
      <c r="R44" s="3260" t="str">
        <f>IF(H44="","",IF(C44="Efficiency",Q44/($O$6*VLOOKUP(0,'DCA Underwriting Assumptions'!$J$143:$K$148,2,FALSE)),Q44/($O$6*VLOOKUP(C44,'DCA Underwriting Assumptions'!$J$143:$K$148,2,FALSE))))</f>
        <v/>
      </c>
      <c r="S44" s="3261"/>
      <c r="T44" s="3262"/>
      <c r="U44" s="3217"/>
      <c r="V44" s="321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1" t="s">
        <v>1784</v>
      </c>
      <c r="C45" s="3252"/>
      <c r="D45" s="3253"/>
      <c r="E45" s="3254"/>
      <c r="F45" s="3254"/>
      <c r="G45" s="3254"/>
      <c r="H45" s="3254"/>
      <c r="I45" s="3255">
        <f>IF(C45="",0,HLOOKUP(C45,'Part V-Utility Allowances'!$I$11:$M$21,11))</f>
        <v>0</v>
      </c>
      <c r="J45" s="3256"/>
      <c r="K45" s="630">
        <f t="shared" si="1"/>
        <v>0</v>
      </c>
      <c r="L45" s="630">
        <f t="shared" si="2"/>
        <v>0</v>
      </c>
      <c r="M45" s="3257"/>
      <c r="N45" s="3257"/>
      <c r="O45" s="3257"/>
      <c r="P45" s="3258"/>
      <c r="Q45" s="3259" t="str">
        <f t="shared" si="3"/>
        <v/>
      </c>
      <c r="R45" s="3260" t="str">
        <f>IF(H45="","",IF(C45="Efficiency",Q45/($O$6*VLOOKUP(0,'DCA Underwriting Assumptions'!$J$143:$K$148,2,FALSE)),Q45/($O$6*VLOOKUP(C45,'DCA Underwriting Assumptions'!$J$143:$K$148,2,FALSE))))</f>
        <v/>
      </c>
      <c r="S45" s="3261"/>
      <c r="T45" s="3262"/>
      <c r="U45" s="3217"/>
      <c r="V45" s="321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1" t="s">
        <v>1784</v>
      </c>
      <c r="C46" s="3252"/>
      <c r="D46" s="3253"/>
      <c r="E46" s="3254"/>
      <c r="F46" s="3254"/>
      <c r="G46" s="3254"/>
      <c r="H46" s="3254"/>
      <c r="I46" s="3255">
        <f>IF(C46="",0,HLOOKUP(C46,'Part V-Utility Allowances'!$I$11:$M$21,11))</f>
        <v>0</v>
      </c>
      <c r="J46" s="3256"/>
      <c r="K46" s="630">
        <f t="shared" si="1"/>
        <v>0</v>
      </c>
      <c r="L46" s="630">
        <f t="shared" si="2"/>
        <v>0</v>
      </c>
      <c r="M46" s="3257"/>
      <c r="N46" s="3257"/>
      <c r="O46" s="3257"/>
      <c r="P46" s="3258"/>
      <c r="Q46" s="3259" t="str">
        <f t="shared" si="3"/>
        <v/>
      </c>
      <c r="R46" s="3260" t="str">
        <f>IF(H46="","",IF(C46="Efficiency",Q46/($O$6*VLOOKUP(0,'DCA Underwriting Assumptions'!$J$143:$K$148,2,FALSE)),Q46/($O$6*VLOOKUP(C46,'DCA Underwriting Assumptions'!$J$143:$K$148,2,FALSE))))</f>
        <v/>
      </c>
      <c r="S46" s="3261"/>
      <c r="T46" s="3262"/>
      <c r="U46" s="3217"/>
      <c r="V46" s="321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3" t="s">
        <v>1784</v>
      </c>
      <c r="C47" s="3264"/>
      <c r="D47" s="3265"/>
      <c r="E47" s="3266"/>
      <c r="F47" s="3266"/>
      <c r="G47" s="3266"/>
      <c r="H47" s="3266"/>
      <c r="I47" s="3267">
        <f>IF(C47="",0,HLOOKUP(C47,'Part V-Utility Allowances'!$I$11:$M$21,11))</f>
        <v>0</v>
      </c>
      <c r="J47" s="3268"/>
      <c r="K47" s="631">
        <f t="shared" si="1"/>
        <v>0</v>
      </c>
      <c r="L47" s="631">
        <f t="shared" si="2"/>
        <v>0</v>
      </c>
      <c r="M47" s="3269"/>
      <c r="N47" s="3269"/>
      <c r="O47" s="3269"/>
      <c r="P47" s="3270"/>
      <c r="Q47" s="3271" t="str">
        <f t="shared" si="3"/>
        <v/>
      </c>
      <c r="R47" s="3272" t="str">
        <f>IF(H47="","",IF(C47="Efficiency",Q47/($O$6*VLOOKUP(0,'DCA Underwriting Assumptions'!$J$143:$K$148,2,FALSE)),Q47/($O$6*VLOOKUP(C47,'DCA Underwriting Assumptions'!$J$143:$K$148,2,FALSE))))</f>
        <v/>
      </c>
      <c r="S47" s="3273"/>
      <c r="T47" s="3274"/>
      <c r="U47" s="3223"/>
      <c r="V47" s="322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2</v>
      </c>
      <c r="B48" s="602"/>
      <c r="C48" s="97"/>
      <c r="D48" s="143" t="s">
        <v>1028</v>
      </c>
      <c r="E48" s="128">
        <f>SUM(E10:E47)</f>
        <v>48</v>
      </c>
      <c r="F48" s="974">
        <f>(E10*F10+E11*F11+E12*F12+E13*F13+E14*F14+E15*F15+E16*F16+E17*F17+E18*F18+E19*F19+E20*F20+E21*F21+E22*F22+E23*F23+E24*F24+E25*F25+E26*F26+E27*F27+E28*F28+E29*F29+E30*F30+E31*F31+E32*F32+E33*F33+E34*F34+E35*F35+E36*F36+E37*F37+E38*F38+E39*F39+E40*F40+E41*F41+E42*F42+E43*F43+E44*F44+E45*F45+E46*F46+E47*F47)</f>
        <v>49914</v>
      </c>
      <c r="G48" s="603"/>
      <c r="H48" s="604"/>
      <c r="I48" s="604"/>
      <c r="J48" s="604"/>
      <c r="K48" s="977" t="s">
        <v>1314</v>
      </c>
      <c r="L48" s="127">
        <f>SUM(L10:L47)</f>
        <v>36226</v>
      </c>
      <c r="M48" s="97"/>
      <c r="N48" s="605"/>
      <c r="O48" s="97"/>
      <c r="P48" s="490"/>
      <c r="Q48" s="490"/>
      <c r="R48" s="490"/>
      <c r="S48" s="490"/>
      <c r="T48" s="490"/>
      <c r="U48" s="955"/>
      <c r="V48" s="606"/>
      <c r="W48" s="607">
        <f t="shared" ref="W48:CH48" si="259">SUM(W10:W47)</f>
        <v>0</v>
      </c>
      <c r="X48" s="607">
        <f t="shared" si="259"/>
        <v>1</v>
      </c>
      <c r="Y48" s="607">
        <f t="shared" si="259"/>
        <v>4</v>
      </c>
      <c r="Z48" s="607">
        <f t="shared" si="259"/>
        <v>23</v>
      </c>
      <c r="AA48" s="607">
        <f t="shared" si="259"/>
        <v>0</v>
      </c>
      <c r="AB48" s="607">
        <f t="shared" si="259"/>
        <v>0</v>
      </c>
      <c r="AC48" s="607">
        <f t="shared" si="259"/>
        <v>5</v>
      </c>
      <c r="AD48" s="607">
        <f t="shared" si="259"/>
        <v>2</v>
      </c>
      <c r="AE48" s="607">
        <f t="shared" si="259"/>
        <v>5</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2</v>
      </c>
      <c r="AO48" s="607">
        <f t="shared" si="259"/>
        <v>6</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702</v>
      </c>
      <c r="CB48" s="607">
        <f t="shared" si="259"/>
        <v>3896</v>
      </c>
      <c r="CC48" s="607">
        <f t="shared" si="259"/>
        <v>25645</v>
      </c>
      <c r="CD48" s="607">
        <f t="shared" si="259"/>
        <v>0</v>
      </c>
      <c r="CE48" s="607">
        <f t="shared" si="259"/>
        <v>0</v>
      </c>
      <c r="CF48" s="607">
        <f t="shared" si="259"/>
        <v>3510</v>
      </c>
      <c r="CG48" s="607">
        <f t="shared" si="259"/>
        <v>1948</v>
      </c>
      <c r="CH48" s="607">
        <f t="shared" si="259"/>
        <v>5575</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1948</v>
      </c>
      <c r="CR48" s="607">
        <f t="shared" si="260"/>
        <v>6690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6</v>
      </c>
      <c r="DF48" s="607">
        <f t="shared" si="260"/>
        <v>6</v>
      </c>
      <c r="DG48" s="607">
        <f t="shared" si="260"/>
        <v>28</v>
      </c>
      <c r="DH48" s="607">
        <f t="shared" si="260"/>
        <v>0</v>
      </c>
      <c r="DI48" s="607">
        <f t="shared" si="260"/>
        <v>0</v>
      </c>
      <c r="DJ48" s="607">
        <f t="shared" si="260"/>
        <v>0</v>
      </c>
      <c r="DK48" s="607">
        <f t="shared" si="260"/>
        <v>2</v>
      </c>
      <c r="DL48" s="607">
        <f t="shared" si="260"/>
        <v>6</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6</v>
      </c>
      <c r="EY48" s="476">
        <f t="shared" si="261"/>
        <v>8</v>
      </c>
      <c r="EZ48" s="476">
        <f t="shared" si="261"/>
        <v>34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6</v>
      </c>
      <c r="HV48" s="476">
        <f t="shared" si="262"/>
        <v>8</v>
      </c>
      <c r="HW48" s="476">
        <f t="shared" si="262"/>
        <v>34</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v>
      </c>
      <c r="JJ48" s="476">
        <f t="shared" si="262"/>
        <v>8</v>
      </c>
      <c r="JK48" s="476">
        <f t="shared" si="262"/>
        <v>34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434712</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5"/>
      <c r="C51" s="3275"/>
      <c r="D51" s="3275"/>
      <c r="E51" s="3275"/>
      <c r="F51" s="3275"/>
      <c r="G51" s="3275"/>
      <c r="H51" s="3275"/>
      <c r="I51" s="3275"/>
      <c r="J51" s="3275"/>
      <c r="K51" s="3275"/>
      <c r="L51" s="3275"/>
      <c r="M51" s="3275"/>
      <c r="N51" s="3275"/>
      <c r="O51" s="3275"/>
      <c r="P51" s="3275"/>
      <c r="Q51" s="3276"/>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5"/>
      <c r="B52" s="3275"/>
      <c r="C52" s="3275"/>
      <c r="D52" s="3275"/>
      <c r="E52" s="3275"/>
      <c r="F52" s="3275"/>
      <c r="G52" s="3275"/>
      <c r="H52" s="3275"/>
      <c r="I52" s="3275"/>
      <c r="J52" s="3275"/>
      <c r="K52" s="3275"/>
      <c r="L52" s="3275"/>
      <c r="M52" s="3275"/>
      <c r="N52" s="3275"/>
      <c r="O52" s="3275"/>
      <c r="P52" s="3275"/>
      <c r="Q52" s="3276"/>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v>
      </c>
      <c r="L56" s="1029">
        <f>Y48</f>
        <v>4</v>
      </c>
      <c r="M56" s="1029">
        <f>Z48</f>
        <v>23</v>
      </c>
      <c r="N56" s="1029">
        <f>AA48</f>
        <v>0</v>
      </c>
      <c r="O56" s="1029">
        <f t="shared" ref="O56:O62" si="263">SUM(J56:N56)</f>
        <v>28</v>
      </c>
      <c r="P56" s="1868" t="s">
        <v>3695</v>
      </c>
      <c r="Q56" s="1594"/>
      <c r="R56" s="3215"/>
      <c r="S56" s="3277"/>
      <c r="T56" s="3277"/>
      <c r="U56" s="3277"/>
      <c r="V56" s="3216"/>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5</v>
      </c>
      <c r="L57" s="636">
        <f>AD48</f>
        <v>2</v>
      </c>
      <c r="M57" s="636">
        <f>AE48</f>
        <v>5</v>
      </c>
      <c r="N57" s="636">
        <f>AF48</f>
        <v>0</v>
      </c>
      <c r="O57" s="636">
        <f t="shared" si="263"/>
        <v>12</v>
      </c>
      <c r="P57" s="1868"/>
      <c r="Q57" s="1594"/>
      <c r="R57" s="3217"/>
      <c r="S57" s="3278"/>
      <c r="T57" s="3278"/>
      <c r="U57" s="3278"/>
      <c r="V57" s="3218"/>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6</v>
      </c>
      <c r="L58" s="632">
        <f>SUM(L56:L57)</f>
        <v>6</v>
      </c>
      <c r="M58" s="632">
        <f>SUM(M56:M57)</f>
        <v>28</v>
      </c>
      <c r="N58" s="632">
        <f>SUM(N56:N57)</f>
        <v>0</v>
      </c>
      <c r="O58" s="632">
        <f t="shared" si="263"/>
        <v>40</v>
      </c>
      <c r="P58" s="1868"/>
      <c r="R58" s="3217"/>
      <c r="S58" s="3278"/>
      <c r="T58" s="3278"/>
      <c r="U58" s="3278"/>
      <c r="V58" s="3218"/>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2</v>
      </c>
      <c r="M59" s="633">
        <f>AO48</f>
        <v>6</v>
      </c>
      <c r="N59" s="633">
        <f>AP48</f>
        <v>0</v>
      </c>
      <c r="O59" s="633">
        <f t="shared" si="263"/>
        <v>8</v>
      </c>
      <c r="R59" s="3217"/>
      <c r="S59" s="3278"/>
      <c r="T59" s="3278"/>
      <c r="U59" s="3278"/>
      <c r="V59" s="3218"/>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6</v>
      </c>
      <c r="L60" s="632">
        <f>SUM(L58:L59)</f>
        <v>8</v>
      </c>
      <c r="M60" s="632">
        <f>SUM(M58:M59)</f>
        <v>34</v>
      </c>
      <c r="N60" s="632">
        <f>SUM(N58:N59)</f>
        <v>0</v>
      </c>
      <c r="O60" s="632">
        <f t="shared" si="263"/>
        <v>48</v>
      </c>
      <c r="R60" s="3217"/>
      <c r="S60" s="3278"/>
      <c r="T60" s="3278"/>
      <c r="U60" s="3278"/>
      <c r="V60" s="3218"/>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3696</v>
      </c>
      <c r="R61" s="3217"/>
      <c r="S61" s="3278"/>
      <c r="T61" s="3278"/>
      <c r="U61" s="3278"/>
      <c r="V61" s="3218"/>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6</v>
      </c>
      <c r="L62" s="634">
        <f>SUM(L60:L61)</f>
        <v>8</v>
      </c>
      <c r="M62" s="634">
        <f>SUM(M60:M61)</f>
        <v>34</v>
      </c>
      <c r="N62" s="634">
        <f>SUM(N60:N61)</f>
        <v>0</v>
      </c>
      <c r="O62" s="634">
        <f t="shared" si="263"/>
        <v>48</v>
      </c>
      <c r="R62" s="3223"/>
      <c r="S62" s="3279"/>
      <c r="T62" s="3279"/>
      <c r="U62" s="3279"/>
      <c r="V62" s="3224"/>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5"/>
      <c r="S64" s="3277"/>
      <c r="T64" s="3277"/>
      <c r="U64" s="3277"/>
      <c r="V64" s="3216"/>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7"/>
      <c r="S65" s="3278"/>
      <c r="T65" s="3278"/>
      <c r="U65" s="3278"/>
      <c r="V65" s="3218"/>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3"/>
      <c r="S66" s="3279"/>
      <c r="T66" s="3279"/>
      <c r="U66" s="3279"/>
      <c r="V66" s="3224"/>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5"/>
      <c r="S68" s="3277"/>
      <c r="T68" s="3277"/>
      <c r="U68" s="3277"/>
      <c r="V68" s="3216"/>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7"/>
      <c r="S69" s="3278"/>
      <c r="T69" s="3278"/>
      <c r="U69" s="3278"/>
      <c r="V69" s="3218"/>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3"/>
      <c r="S70" s="3279"/>
      <c r="T70" s="3279"/>
      <c r="U70" s="3279"/>
      <c r="V70" s="3224"/>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6</v>
      </c>
      <c r="L72" s="632">
        <f>DF48</f>
        <v>6</v>
      </c>
      <c r="M72" s="632">
        <f>DG48</f>
        <v>28</v>
      </c>
      <c r="N72" s="632">
        <f>DH48</f>
        <v>0</v>
      </c>
      <c r="O72" s="632">
        <f t="shared" ref="O72:O82" si="264">SUM(J72:N72)</f>
        <v>40</v>
      </c>
      <c r="R72" s="3215"/>
      <c r="S72" s="3277"/>
      <c r="T72" s="3277"/>
      <c r="U72" s="3277"/>
      <c r="V72" s="321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2</v>
      </c>
      <c r="M73" s="633">
        <f>DL48</f>
        <v>6</v>
      </c>
      <c r="N73" s="633">
        <f>DM48</f>
        <v>0</v>
      </c>
      <c r="O73" s="633">
        <f t="shared" si="264"/>
        <v>8</v>
      </c>
      <c r="R73" s="3217"/>
      <c r="S73" s="3278"/>
      <c r="T73" s="3278"/>
      <c r="U73" s="3278"/>
      <c r="V73" s="3218"/>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6</v>
      </c>
      <c r="L74" s="634">
        <f>SUM(L72:L73)+DP48</f>
        <v>8</v>
      </c>
      <c r="M74" s="634">
        <f>SUM(M72:M73)+DQ48</f>
        <v>34</v>
      </c>
      <c r="N74" s="634">
        <f>SUM(N72:N73)+DR48</f>
        <v>0</v>
      </c>
      <c r="O74" s="634">
        <f t="shared" si="264"/>
        <v>48</v>
      </c>
      <c r="R74" s="3217"/>
      <c r="S74" s="3278"/>
      <c r="T74" s="3278"/>
      <c r="U74" s="3278"/>
      <c r="V74" s="3218"/>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7"/>
      <c r="S75" s="3278"/>
      <c r="T75" s="3278"/>
      <c r="U75" s="3278"/>
      <c r="V75" s="321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7"/>
      <c r="S76" s="3278"/>
      <c r="T76" s="3278"/>
      <c r="U76" s="3278"/>
      <c r="V76" s="3218"/>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7"/>
      <c r="S77" s="3278"/>
      <c r="T77" s="3278"/>
      <c r="U77" s="3278"/>
      <c r="V77" s="3218"/>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7"/>
      <c r="S78" s="3278"/>
      <c r="T78" s="3278"/>
      <c r="U78" s="3278"/>
      <c r="V78" s="321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7"/>
      <c r="S79" s="3278"/>
      <c r="T79" s="3278"/>
      <c r="U79" s="3278"/>
      <c r="V79" s="3218"/>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7"/>
      <c r="S80" s="3278"/>
      <c r="T80" s="3278"/>
      <c r="U80" s="3278"/>
      <c r="V80" s="3218"/>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0"/>
      <c r="K81" s="3280"/>
      <c r="L81" s="3280"/>
      <c r="M81" s="3280"/>
      <c r="N81" s="3280"/>
      <c r="O81" s="632">
        <f t="shared" si="264"/>
        <v>0</v>
      </c>
      <c r="R81" s="3217"/>
      <c r="S81" s="3278"/>
      <c r="T81" s="3278"/>
      <c r="U81" s="3278"/>
      <c r="V81" s="3218"/>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1"/>
      <c r="K82" s="3281"/>
      <c r="L82" s="3281"/>
      <c r="M82" s="3281"/>
      <c r="N82" s="3281"/>
      <c r="O82" s="633">
        <f t="shared" si="264"/>
        <v>0</v>
      </c>
      <c r="R82" s="3217"/>
      <c r="S82" s="3278"/>
      <c r="T82" s="3278"/>
      <c r="U82" s="3278"/>
      <c r="V82" s="321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7"/>
      <c r="S83" s="3278"/>
      <c r="T83" s="3278"/>
      <c r="U83" s="3278"/>
      <c r="V83" s="3218"/>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3"/>
      <c r="S84" s="3279"/>
      <c r="T84" s="3279"/>
      <c r="U84" s="3279"/>
      <c r="V84" s="322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6</v>
      </c>
      <c r="L86" s="645">
        <f t="shared" si="265"/>
        <v>8</v>
      </c>
      <c r="M86" s="645">
        <f t="shared" si="265"/>
        <v>34</v>
      </c>
      <c r="N86" s="645">
        <f t="shared" si="265"/>
        <v>0</v>
      </c>
      <c r="O86" s="645">
        <f t="shared" si="265"/>
        <v>48</v>
      </c>
      <c r="R86" s="3215"/>
      <c r="S86" s="3277"/>
      <c r="T86" s="3277"/>
      <c r="U86" s="3277"/>
      <c r="V86" s="321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7"/>
      <c r="S87" s="3278"/>
      <c r="T87" s="3278"/>
      <c r="U87" s="3278"/>
      <c r="V87" s="321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7"/>
      <c r="S88" s="3278"/>
      <c r="T88" s="3278"/>
      <c r="U88" s="3278"/>
      <c r="V88" s="321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7"/>
      <c r="S89" s="3278"/>
      <c r="T89" s="3278"/>
      <c r="U89" s="3278"/>
      <c r="V89" s="321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7"/>
      <c r="S90" s="3278"/>
      <c r="T90" s="3278"/>
      <c r="U90" s="3278"/>
      <c r="V90" s="321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7"/>
      <c r="S91" s="3278"/>
      <c r="T91" s="3278"/>
      <c r="U91" s="3278"/>
      <c r="V91" s="321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7"/>
      <c r="S92" s="3278"/>
      <c r="T92" s="3278"/>
      <c r="U92" s="3278"/>
      <c r="V92" s="321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6</v>
      </c>
      <c r="L93" s="1022">
        <f>HV48</f>
        <v>8</v>
      </c>
      <c r="M93" s="1022">
        <f>HW48</f>
        <v>34</v>
      </c>
      <c r="N93" s="1022">
        <f>HX48</f>
        <v>0</v>
      </c>
      <c r="O93" s="637">
        <f t="shared" si="266"/>
        <v>48</v>
      </c>
      <c r="R93" s="3217"/>
      <c r="S93" s="3278"/>
      <c r="T93" s="3278"/>
      <c r="U93" s="3278"/>
      <c r="V93" s="321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7"/>
      <c r="S94" s="3278"/>
      <c r="T94" s="3278"/>
      <c r="U94" s="3278"/>
      <c r="V94" s="321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7"/>
      <c r="S95" s="3278"/>
      <c r="T95" s="3278"/>
      <c r="U95" s="3278"/>
      <c r="V95" s="321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7"/>
      <c r="S96" s="3278"/>
      <c r="T96" s="3278"/>
      <c r="U96" s="3278"/>
      <c r="V96" s="321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7"/>
      <c r="S97" s="3278"/>
      <c r="T97" s="3278"/>
      <c r="U97" s="3278"/>
      <c r="V97" s="321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7"/>
      <c r="S98" s="3278"/>
      <c r="T98" s="3278"/>
      <c r="U98" s="3278"/>
      <c r="V98" s="321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7"/>
      <c r="S99" s="3278"/>
      <c r="T99" s="3278"/>
      <c r="U99" s="3278"/>
      <c r="V99" s="321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7"/>
      <c r="S100" s="3278"/>
      <c r="T100" s="3278"/>
      <c r="U100" s="3278"/>
      <c r="V100" s="321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7"/>
      <c r="S101" s="3278"/>
      <c r="T101" s="3278"/>
      <c r="U101" s="3278"/>
      <c r="V101" s="321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3"/>
      <c r="S102" s="3279"/>
      <c r="T102" s="3279"/>
      <c r="U102" s="3279"/>
      <c r="V102" s="322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5"/>
      <c r="S104" s="3277"/>
      <c r="T104" s="3277"/>
      <c r="U104" s="3277"/>
      <c r="V104" s="321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7"/>
      <c r="S105" s="3278"/>
      <c r="T105" s="3278"/>
      <c r="U105" s="3278"/>
      <c r="V105" s="321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7"/>
      <c r="S106" s="3278"/>
      <c r="T106" s="3278"/>
      <c r="U106" s="3278"/>
      <c r="V106" s="321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7"/>
      <c r="S107" s="3278"/>
      <c r="T107" s="3278"/>
      <c r="U107" s="3278"/>
      <c r="V107" s="321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7"/>
      <c r="S108" s="3278"/>
      <c r="T108" s="3278"/>
      <c r="U108" s="3278"/>
      <c r="V108" s="321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7"/>
      <c r="S109" s="3278"/>
      <c r="T109" s="3278"/>
      <c r="U109" s="3278"/>
      <c r="V109" s="321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6</v>
      </c>
      <c r="L110" s="1025">
        <f t="shared" si="271"/>
        <v>8</v>
      </c>
      <c r="M110" s="1025">
        <f t="shared" si="271"/>
        <v>34</v>
      </c>
      <c r="N110" s="1025">
        <f t="shared" si="271"/>
        <v>0</v>
      </c>
      <c r="O110" s="1025">
        <f t="shared" si="268"/>
        <v>48</v>
      </c>
      <c r="R110" s="3217"/>
      <c r="S110" s="3278"/>
      <c r="T110" s="3278"/>
      <c r="U110" s="3278"/>
      <c r="V110" s="321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3"/>
      <c r="S111" s="3279"/>
      <c r="T111" s="3279"/>
      <c r="U111" s="3279"/>
      <c r="V111" s="322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702</v>
      </c>
      <c r="L113" s="1027">
        <f>CB48</f>
        <v>3896</v>
      </c>
      <c r="M113" s="1027">
        <f>CC48</f>
        <v>25645</v>
      </c>
      <c r="N113" s="1027">
        <f>CD48</f>
        <v>0</v>
      </c>
      <c r="O113" s="1027">
        <f t="shared" ref="O113:O119" si="272">SUM(J113:N113)</f>
        <v>30243</v>
      </c>
      <c r="R113" s="3215"/>
      <c r="S113" s="3277"/>
      <c r="T113" s="3277"/>
      <c r="U113" s="3277"/>
      <c r="V113" s="321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3510</v>
      </c>
      <c r="L114" s="1028">
        <f>CG48</f>
        <v>1948</v>
      </c>
      <c r="M114" s="1028">
        <f>CH48</f>
        <v>5575</v>
      </c>
      <c r="N114" s="1028">
        <f>CI48</f>
        <v>0</v>
      </c>
      <c r="O114" s="1028">
        <f t="shared" si="272"/>
        <v>11033</v>
      </c>
      <c r="R114" s="3217"/>
      <c r="S114" s="3278"/>
      <c r="T114" s="3278"/>
      <c r="U114" s="3278"/>
      <c r="V114" s="321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4212</v>
      </c>
      <c r="L115" s="641">
        <f>SUM(L113:L114)</f>
        <v>5844</v>
      </c>
      <c r="M115" s="641">
        <f>SUM(M113:M114)</f>
        <v>31220</v>
      </c>
      <c r="N115" s="641">
        <f>SUM(N113:N114)</f>
        <v>0</v>
      </c>
      <c r="O115" s="641">
        <f t="shared" si="272"/>
        <v>41276</v>
      </c>
      <c r="R115" s="3217"/>
      <c r="S115" s="3278"/>
      <c r="T115" s="3278"/>
      <c r="U115" s="3278"/>
      <c r="V115" s="321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1948</v>
      </c>
      <c r="M116" s="642">
        <f>CR48</f>
        <v>6690</v>
      </c>
      <c r="N116" s="642">
        <f>CS48</f>
        <v>0</v>
      </c>
      <c r="O116" s="642">
        <f t="shared" si="272"/>
        <v>8638</v>
      </c>
      <c r="R116" s="3217"/>
      <c r="S116" s="3278"/>
      <c r="T116" s="3278"/>
      <c r="U116" s="3278"/>
      <c r="V116" s="321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4212</v>
      </c>
      <c r="L117" s="641">
        <f>SUM(L115:L116)</f>
        <v>7792</v>
      </c>
      <c r="M117" s="641">
        <f>SUM(M115:M116)</f>
        <v>37910</v>
      </c>
      <c r="N117" s="641">
        <f>SUM(N115:N116)</f>
        <v>0</v>
      </c>
      <c r="O117" s="641">
        <f t="shared" si="272"/>
        <v>49914</v>
      </c>
      <c r="R117" s="3217"/>
      <c r="S117" s="3278"/>
      <c r="T117" s="3278"/>
      <c r="U117" s="3278"/>
      <c r="V117" s="3218"/>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7"/>
      <c r="S118" s="3278"/>
      <c r="T118" s="3278"/>
      <c r="U118" s="3278"/>
      <c r="V118" s="321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4212</v>
      </c>
      <c r="L119" s="643">
        <f>SUM(L117:L118)</f>
        <v>7792</v>
      </c>
      <c r="M119" s="643">
        <f>SUM(M117:M118)</f>
        <v>37910</v>
      </c>
      <c r="N119" s="643">
        <f>SUM(N117:N118)</f>
        <v>0</v>
      </c>
      <c r="O119" s="643">
        <f t="shared" si="272"/>
        <v>49914</v>
      </c>
      <c r="R119" s="3223"/>
      <c r="S119" s="3279"/>
      <c r="T119" s="3279"/>
      <c r="U119" s="3279"/>
      <c r="V119" s="3224"/>
      <c r="W119" s="490"/>
      <c r="Z119" s="490"/>
      <c r="AA119" s="490"/>
      <c r="AB119" s="604"/>
      <c r="AC119" s="604"/>
      <c r="AD119" s="604"/>
      <c r="AE119" s="604"/>
      <c r="AF119" s="604"/>
      <c r="AG119" s="604"/>
      <c r="AH119" s="488"/>
      <c r="AI119" s="97"/>
      <c r="IL119" s="477"/>
      <c r="JA119" s="464"/>
    </row>
    <row r="120" spans="1:263" ht="14.1"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2">
        <f>'Part VII-Pro Forma'!B9*L49</f>
        <v>8694.24</v>
      </c>
      <c r="I122" s="3283"/>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4"/>
      <c r="H126" s="3284"/>
      <c r="I126" s="3284"/>
      <c r="J126" s="3284"/>
      <c r="K126" s="3285"/>
      <c r="L126" s="3284"/>
      <c r="M126" s="3284"/>
      <c r="N126" s="3284"/>
      <c r="O126" s="3284"/>
      <c r="P126" s="3284"/>
      <c r="Q126" s="926"/>
      <c r="R126" s="3215"/>
      <c r="S126" s="3277"/>
      <c r="T126" s="3277"/>
      <c r="U126" s="3277"/>
      <c r="V126" s="3216"/>
    </row>
    <row r="127" spans="1:263" ht="11.25" customHeight="1">
      <c r="B127" s="113" t="s">
        <v>749</v>
      </c>
      <c r="C127" s="3286"/>
      <c r="D127" s="3287"/>
      <c r="E127" s="3287"/>
      <c r="F127" s="3288"/>
      <c r="G127" s="3289"/>
      <c r="H127" s="3289"/>
      <c r="I127" s="3289"/>
      <c r="J127" s="3289"/>
      <c r="K127" s="3290"/>
      <c r="L127" s="3289"/>
      <c r="M127" s="3289"/>
      <c r="N127" s="3289"/>
      <c r="O127" s="3289"/>
      <c r="P127" s="3289"/>
      <c r="Q127" s="926"/>
      <c r="R127" s="3217"/>
      <c r="S127" s="3278"/>
      <c r="T127" s="3278"/>
      <c r="U127" s="3278"/>
      <c r="V127" s="3218"/>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3"/>
      <c r="S128" s="3279"/>
      <c r="T128" s="3279"/>
      <c r="U128" s="3279"/>
      <c r="V128" s="3224"/>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4"/>
      <c r="H130" s="3284"/>
      <c r="I130" s="3284"/>
      <c r="J130" s="3284"/>
      <c r="K130" s="3285"/>
      <c r="L130" s="3284"/>
      <c r="M130" s="3284"/>
      <c r="N130" s="3284"/>
      <c r="O130" s="3284"/>
      <c r="P130" s="3284"/>
      <c r="Q130" s="926"/>
      <c r="R130" s="3215"/>
      <c r="S130" s="3277"/>
      <c r="T130" s="3277"/>
      <c r="U130" s="3277"/>
      <c r="V130" s="3216"/>
    </row>
    <row r="131" spans="2:22" ht="11.25" customHeight="1">
      <c r="B131" s="113" t="s">
        <v>749</v>
      </c>
      <c r="C131" s="3286"/>
      <c r="D131" s="3287"/>
      <c r="E131" s="3287"/>
      <c r="F131" s="3288"/>
      <c r="G131" s="3289"/>
      <c r="H131" s="3289"/>
      <c r="I131" s="3289"/>
      <c r="J131" s="3289"/>
      <c r="K131" s="3290"/>
      <c r="L131" s="3289"/>
      <c r="M131" s="3289"/>
      <c r="N131" s="3289"/>
      <c r="O131" s="3289"/>
      <c r="P131" s="3289"/>
      <c r="Q131" s="926"/>
      <c r="R131" s="3217"/>
      <c r="S131" s="3278"/>
      <c r="T131" s="3278"/>
      <c r="U131" s="3278"/>
      <c r="V131" s="321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3"/>
      <c r="S132" s="3279"/>
      <c r="T132" s="3279"/>
      <c r="U132" s="3279"/>
      <c r="V132" s="322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4"/>
      <c r="H135" s="3284"/>
      <c r="I135" s="3284"/>
      <c r="J135" s="3284"/>
      <c r="K135" s="3285"/>
      <c r="L135" s="3284"/>
      <c r="M135" s="3284"/>
      <c r="N135" s="3284"/>
      <c r="O135" s="3284"/>
      <c r="P135" s="3284"/>
      <c r="Q135" s="926"/>
      <c r="R135" s="3215"/>
      <c r="S135" s="3277"/>
      <c r="T135" s="3277"/>
      <c r="U135" s="3277"/>
      <c r="V135" s="3216"/>
    </row>
    <row r="136" spans="2:22" ht="11.25" customHeight="1">
      <c r="B136" s="113" t="s">
        <v>749</v>
      </c>
      <c r="C136" s="3286"/>
      <c r="D136" s="3287"/>
      <c r="E136" s="3287"/>
      <c r="F136" s="3288"/>
      <c r="G136" s="3289"/>
      <c r="H136" s="3289"/>
      <c r="I136" s="3289"/>
      <c r="J136" s="3289"/>
      <c r="K136" s="3290"/>
      <c r="L136" s="3289"/>
      <c r="M136" s="3289"/>
      <c r="N136" s="3289"/>
      <c r="O136" s="3289"/>
      <c r="P136" s="3289"/>
      <c r="Q136" s="926"/>
      <c r="R136" s="3217"/>
      <c r="S136" s="3278"/>
      <c r="T136" s="3278"/>
      <c r="U136" s="3278"/>
      <c r="V136" s="3218"/>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3"/>
      <c r="S137" s="3279"/>
      <c r="T137" s="3279"/>
      <c r="U137" s="3279"/>
      <c r="V137" s="3224"/>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4"/>
      <c r="H139" s="3284"/>
      <c r="I139" s="3284"/>
      <c r="J139" s="3284"/>
      <c r="K139" s="3285"/>
      <c r="L139" s="3284"/>
      <c r="M139" s="3284"/>
      <c r="N139" s="3284"/>
      <c r="O139" s="3284"/>
      <c r="P139" s="3284"/>
      <c r="Q139" s="926"/>
      <c r="R139" s="3215"/>
      <c r="S139" s="3277"/>
      <c r="T139" s="3277"/>
      <c r="U139" s="3277"/>
      <c r="V139" s="3216"/>
    </row>
    <row r="140" spans="2:22" ht="11.25" customHeight="1">
      <c r="B140" s="113" t="s">
        <v>749</v>
      </c>
      <c r="C140" s="3286"/>
      <c r="D140" s="3287"/>
      <c r="E140" s="3287"/>
      <c r="F140" s="3288"/>
      <c r="G140" s="3289"/>
      <c r="H140" s="3289"/>
      <c r="I140" s="3289"/>
      <c r="J140" s="3289"/>
      <c r="K140" s="3290"/>
      <c r="L140" s="3289"/>
      <c r="M140" s="3289"/>
      <c r="N140" s="3289"/>
      <c r="O140" s="3289"/>
      <c r="P140" s="3289"/>
      <c r="Q140" s="926"/>
      <c r="R140" s="3217"/>
      <c r="S140" s="3278"/>
      <c r="T140" s="3278"/>
      <c r="U140" s="3278"/>
      <c r="V140" s="321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3"/>
      <c r="S141" s="3279"/>
      <c r="T141" s="3279"/>
      <c r="U141" s="3279"/>
      <c r="V141" s="322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4"/>
      <c r="H144" s="3284"/>
      <c r="I144" s="3284"/>
      <c r="J144" s="3284"/>
      <c r="K144" s="3285"/>
      <c r="L144" s="3284"/>
      <c r="M144" s="3284"/>
      <c r="N144" s="3284"/>
      <c r="O144" s="3284"/>
      <c r="P144" s="3284"/>
      <c r="Q144" s="926"/>
      <c r="R144" s="3215"/>
      <c r="S144" s="3277"/>
      <c r="T144" s="3277"/>
      <c r="U144" s="3277"/>
      <c r="V144" s="3216"/>
    </row>
    <row r="145" spans="2:22" ht="11.25" customHeight="1">
      <c r="B145" s="113" t="s">
        <v>749</v>
      </c>
      <c r="C145" s="3286"/>
      <c r="D145" s="3287"/>
      <c r="E145" s="3287"/>
      <c r="F145" s="3288"/>
      <c r="G145" s="3289"/>
      <c r="H145" s="3289"/>
      <c r="I145" s="3289"/>
      <c r="J145" s="3289"/>
      <c r="K145" s="3290"/>
      <c r="L145" s="3289"/>
      <c r="M145" s="3289"/>
      <c r="N145" s="3289"/>
      <c r="O145" s="3289"/>
      <c r="P145" s="3289"/>
      <c r="Q145" s="926"/>
      <c r="R145" s="3217"/>
      <c r="S145" s="3278"/>
      <c r="T145" s="3278"/>
      <c r="U145" s="3278"/>
      <c r="V145" s="3218"/>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3"/>
      <c r="S146" s="3279"/>
      <c r="T146" s="3279"/>
      <c r="U146" s="3279"/>
      <c r="V146" s="3224"/>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4"/>
      <c r="H148" s="3284"/>
      <c r="I148" s="3284"/>
      <c r="J148" s="3284"/>
      <c r="K148" s="3285"/>
      <c r="L148" s="3284"/>
      <c r="M148" s="3284"/>
      <c r="N148" s="3284"/>
      <c r="O148" s="3284"/>
      <c r="P148" s="3284"/>
      <c r="Q148" s="926"/>
      <c r="R148" s="3215"/>
      <c r="S148" s="3277"/>
      <c r="T148" s="3277"/>
      <c r="U148" s="3277"/>
      <c r="V148" s="3216"/>
    </row>
    <row r="149" spans="2:22" ht="11.25" customHeight="1">
      <c r="B149" s="113" t="s">
        <v>749</v>
      </c>
      <c r="C149" s="3286"/>
      <c r="D149" s="3287"/>
      <c r="E149" s="3287"/>
      <c r="F149" s="3288"/>
      <c r="G149" s="3289"/>
      <c r="H149" s="3289"/>
      <c r="I149" s="3289"/>
      <c r="J149" s="3289"/>
      <c r="K149" s="3290"/>
      <c r="L149" s="3289"/>
      <c r="M149" s="3289"/>
      <c r="N149" s="3289"/>
      <c r="O149" s="3289"/>
      <c r="P149" s="3289"/>
      <c r="Q149" s="926"/>
      <c r="R149" s="3217"/>
      <c r="S149" s="3278"/>
      <c r="T149" s="3278"/>
      <c r="U149" s="3278"/>
      <c r="V149" s="321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3"/>
      <c r="S150" s="3279"/>
      <c r="T150" s="3279"/>
      <c r="U150" s="3279"/>
      <c r="V150" s="322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4"/>
      <c r="H153" s="3284"/>
      <c r="I153" s="3284"/>
      <c r="J153" s="3284"/>
      <c r="K153" s="3285"/>
      <c r="L153" s="92"/>
      <c r="M153" s="92"/>
      <c r="N153" s="92"/>
      <c r="O153" s="92"/>
      <c r="P153" s="92"/>
      <c r="Q153" s="8"/>
      <c r="R153" s="3215"/>
      <c r="S153" s="3277"/>
      <c r="T153" s="3277"/>
      <c r="U153" s="3277"/>
      <c r="V153" s="3216"/>
    </row>
    <row r="154" spans="2:22" ht="11.25" customHeight="1">
      <c r="B154" s="113" t="s">
        <v>749</v>
      </c>
      <c r="C154" s="3286"/>
      <c r="D154" s="3287"/>
      <c r="E154" s="3287"/>
      <c r="F154" s="3288"/>
      <c r="G154" s="3289"/>
      <c r="H154" s="3289"/>
      <c r="I154" s="3289"/>
      <c r="J154" s="3289"/>
      <c r="K154" s="3290"/>
      <c r="L154" s="92"/>
      <c r="M154" s="92"/>
      <c r="N154" s="92"/>
      <c r="O154" s="92"/>
      <c r="P154" s="92"/>
      <c r="Q154" s="8"/>
      <c r="R154" s="3217"/>
      <c r="S154" s="3278"/>
      <c r="T154" s="3278"/>
      <c r="U154" s="3278"/>
      <c r="V154" s="3218"/>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3"/>
      <c r="S155" s="3279"/>
      <c r="T155" s="3279"/>
      <c r="U155" s="3279"/>
      <c r="V155" s="3224"/>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4"/>
      <c r="H157" s="3284"/>
      <c r="I157" s="3284"/>
      <c r="J157" s="3284"/>
      <c r="K157" s="3285"/>
      <c r="L157" s="92"/>
      <c r="M157" s="92"/>
      <c r="N157" s="92"/>
      <c r="O157" s="92"/>
      <c r="P157" s="92"/>
      <c r="Q157" s="8"/>
      <c r="R157" s="3215"/>
      <c r="S157" s="3277"/>
      <c r="T157" s="3277"/>
      <c r="U157" s="3277"/>
      <c r="V157" s="3216"/>
    </row>
    <row r="158" spans="2:22" ht="11.25" customHeight="1">
      <c r="B158" s="113" t="s">
        <v>749</v>
      </c>
      <c r="C158" s="3286"/>
      <c r="D158" s="3287"/>
      <c r="E158" s="3287"/>
      <c r="F158" s="3288"/>
      <c r="G158" s="3289"/>
      <c r="H158" s="3289"/>
      <c r="I158" s="3289"/>
      <c r="J158" s="3289"/>
      <c r="K158" s="3290"/>
      <c r="L158" s="92"/>
      <c r="M158" s="92"/>
      <c r="N158" s="92"/>
      <c r="O158" s="92"/>
      <c r="P158" s="92"/>
      <c r="Q158" s="8"/>
      <c r="R158" s="3217"/>
      <c r="S158" s="3278"/>
      <c r="T158" s="3278"/>
      <c r="U158" s="3278"/>
      <c r="V158" s="321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3"/>
      <c r="S159" s="3279"/>
      <c r="T159" s="3279"/>
      <c r="U159" s="3279"/>
      <c r="V159" s="322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1302</v>
      </c>
      <c r="C163" s="1"/>
      <c r="D163" s="1"/>
      <c r="E163" s="1"/>
      <c r="F163" s="28"/>
      <c r="G163" s="28"/>
      <c r="H163" s="1"/>
      <c r="I163" s="10" t="s">
        <v>1389</v>
      </c>
      <c r="J163" s="1"/>
      <c r="K163" s="1"/>
      <c r="L163" s="1"/>
      <c r="M163" s="1"/>
      <c r="N163" s="10" t="s">
        <v>1388</v>
      </c>
      <c r="O163" s="1"/>
      <c r="P163" s="1"/>
      <c r="Q163" s="1"/>
      <c r="R163" s="3215"/>
      <c r="S163" s="3277"/>
      <c r="T163" s="3277"/>
      <c r="U163" s="3277"/>
      <c r="V163" s="321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1">
        <f>31616+(0.5*16597)</f>
        <v>39914.5</v>
      </c>
      <c r="G164" s="3292"/>
      <c r="H164" s="1"/>
      <c r="I164" s="1" t="s">
        <v>1390</v>
      </c>
      <c r="J164" s="1"/>
      <c r="K164" s="3291"/>
      <c r="L164" s="3292"/>
      <c r="M164" s="1"/>
      <c r="N164" s="1" t="s">
        <v>938</v>
      </c>
      <c r="O164" s="1"/>
      <c r="P164" s="3293">
        <v>38700</v>
      </c>
      <c r="Q164" s="926"/>
      <c r="R164" s="3217"/>
      <c r="S164" s="3278"/>
      <c r="T164" s="3278"/>
      <c r="U164" s="3278"/>
      <c r="V164" s="321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1">
        <f>29952+(0.5*16597)+206</f>
        <v>38456.5</v>
      </c>
      <c r="G165" s="3292"/>
      <c r="H165" s="1"/>
      <c r="I165" s="1" t="s">
        <v>1391</v>
      </c>
      <c r="J165" s="1"/>
      <c r="K165" s="3291"/>
      <c r="L165" s="3292"/>
      <c r="M165" s="1"/>
      <c r="N165" s="1" t="s">
        <v>148</v>
      </c>
      <c r="O165" s="1"/>
      <c r="P165" s="3293">
        <v>24000</v>
      </c>
      <c r="Q165" s="926"/>
      <c r="R165" s="3217"/>
      <c r="S165" s="3278"/>
      <c r="T165" s="3278"/>
      <c r="U165" s="3278"/>
      <c r="V165" s="321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1">
        <v>20000</v>
      </c>
      <c r="G166" s="3292"/>
      <c r="H166" s="1"/>
      <c r="I166" s="1"/>
      <c r="J166" s="126" t="s">
        <v>193</v>
      </c>
      <c r="K166" s="1858">
        <f>SUM(K164:L165)</f>
        <v>0</v>
      </c>
      <c r="L166" s="1859"/>
      <c r="M166" s="1"/>
      <c r="N166" s="3294" t="s">
        <v>52</v>
      </c>
      <c r="O166" s="3295"/>
      <c r="P166" s="3296"/>
      <c r="Q166" s="926"/>
      <c r="R166" s="3217"/>
      <c r="S166" s="3278"/>
      <c r="T166" s="3278"/>
      <c r="U166" s="3278"/>
      <c r="V166" s="321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7" t="s">
        <v>4674</v>
      </c>
      <c r="C167" s="3298"/>
      <c r="D167" s="3298"/>
      <c r="E167" s="3299"/>
      <c r="F167" s="3300">
        <v>8320</v>
      </c>
      <c r="G167" s="3301"/>
      <c r="H167" s="1"/>
      <c r="I167" s="1"/>
      <c r="J167" s="1"/>
      <c r="K167" s="1"/>
      <c r="L167" s="1"/>
      <c r="M167" s="1"/>
      <c r="N167" s="12" t="s">
        <v>193</v>
      </c>
      <c r="O167" s="1"/>
      <c r="P167" s="419">
        <f>SUM(P164:P166)</f>
        <v>62700</v>
      </c>
      <c r="Q167" s="926"/>
      <c r="R167" s="3217"/>
      <c r="S167" s="3278"/>
      <c r="T167" s="3278"/>
      <c r="U167" s="3278"/>
      <c r="V167" s="321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106691</v>
      </c>
      <c r="G168" s="1859"/>
      <c r="H168" s="1"/>
      <c r="I168" s="1"/>
      <c r="J168" s="13"/>
      <c r="K168" s="1"/>
      <c r="L168" s="1"/>
      <c r="M168" s="1"/>
      <c r="N168" s="1"/>
      <c r="O168" s="1"/>
      <c r="P168" s="1"/>
      <c r="Q168" s="1"/>
      <c r="R168" s="3217"/>
      <c r="S168" s="3278"/>
      <c r="T168" s="3278"/>
      <c r="U168" s="3278"/>
      <c r="V168" s="321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7"/>
      <c r="S169" s="3278"/>
      <c r="T169" s="3278"/>
      <c r="U169" s="3278"/>
      <c r="V169" s="321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20618</v>
      </c>
      <c r="Q170" s="927"/>
      <c r="R170" s="3217"/>
      <c r="S170" s="3278"/>
      <c r="T170" s="3278"/>
      <c r="U170" s="3278"/>
      <c r="V170" s="321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1">
        <v>2800</v>
      </c>
      <c r="G171" s="3292"/>
      <c r="H171" s="1"/>
      <c r="I171" s="1" t="s">
        <v>1614</v>
      </c>
      <c r="J171" s="1"/>
      <c r="K171" s="3302">
        <v>1000</v>
      </c>
      <c r="L171" s="3303"/>
      <c r="M171" s="1"/>
      <c r="N171" s="408">
        <f>+P170/(O62*0.93)</f>
        <v>461.87275985663081</v>
      </c>
      <c r="O171" s="69" t="s">
        <v>2775</v>
      </c>
      <c r="P171" s="1"/>
      <c r="Q171" s="1"/>
      <c r="R171" s="3217"/>
      <c r="S171" s="3278"/>
      <c r="T171" s="3278"/>
      <c r="U171" s="3278"/>
      <c r="V171" s="321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1">
        <v>3300</v>
      </c>
      <c r="G172" s="3292"/>
      <c r="H172" s="1"/>
      <c r="I172" s="1" t="s">
        <v>2065</v>
      </c>
      <c r="J172" s="1"/>
      <c r="K172" s="3304">
        <v>8000</v>
      </c>
      <c r="L172" s="3305"/>
      <c r="M172" s="1"/>
      <c r="N172" s="408">
        <f>+P170/(O62*0.93)/12</f>
        <v>38.489396654719236</v>
      </c>
      <c r="O172" s="69" t="s">
        <v>2776</v>
      </c>
      <c r="P172" s="1"/>
      <c r="Q172" s="1"/>
      <c r="R172" s="3217"/>
      <c r="S172" s="3278"/>
      <c r="T172" s="3278"/>
      <c r="U172" s="3278"/>
      <c r="V172" s="321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1">
        <v>1000</v>
      </c>
      <c r="G173" s="3292"/>
      <c r="H173" s="1"/>
      <c r="I173" s="1" t="s">
        <v>1615</v>
      </c>
      <c r="J173" s="1"/>
      <c r="K173" s="3304">
        <v>1200</v>
      </c>
      <c r="L173" s="3305"/>
      <c r="M173" s="1"/>
      <c r="N173" s="37" t="s">
        <v>3755</v>
      </c>
      <c r="O173" s="1041"/>
      <c r="P173" s="1041"/>
      <c r="Q173" s="1604"/>
      <c r="R173" s="3217"/>
      <c r="S173" s="3278"/>
      <c r="T173" s="3278"/>
      <c r="U173" s="3278"/>
      <c r="V173" s="321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1"/>
      <c r="G174" s="3292"/>
      <c r="H174" s="1"/>
      <c r="I174" s="3294" t="s">
        <v>4623</v>
      </c>
      <c r="J174" s="3295"/>
      <c r="K174" s="3302">
        <v>2500</v>
      </c>
      <c r="L174" s="3303"/>
      <c r="M174" s="1"/>
      <c r="N174" s="1041"/>
      <c r="O174" s="1041"/>
      <c r="P174" s="1041"/>
      <c r="Q174" s="1604"/>
      <c r="R174" s="3217"/>
      <c r="S174" s="3278"/>
      <c r="T174" s="3278"/>
      <c r="U174" s="3278"/>
      <c r="V174" s="321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1"/>
      <c r="G175" s="3292"/>
      <c r="H175" s="1"/>
      <c r="I175" s="10"/>
      <c r="J175" s="12" t="s">
        <v>193</v>
      </c>
      <c r="K175" s="1850">
        <f>SUM(K171:K174)</f>
        <v>12700</v>
      </c>
      <c r="L175" s="1851"/>
      <c r="M175" s="1860" t="str">
        <f>IF(P177="","",IF(P175&lt;P177, "WARNING! OE below required minimum.",""))</f>
        <v/>
      </c>
      <c r="N175" s="10" t="s">
        <v>2202</v>
      </c>
      <c r="O175" s="5"/>
      <c r="P175" s="417">
        <f>F168+F177+F188+K166+K175+K185+P167+P170</f>
        <v>258909</v>
      </c>
      <c r="R175" s="3217"/>
      <c r="S175" s="3278"/>
      <c r="T175" s="3278"/>
      <c r="U175" s="3278"/>
      <c r="V175" s="321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7" t="s">
        <v>52</v>
      </c>
      <c r="C176" s="3298"/>
      <c r="D176" s="3298"/>
      <c r="E176" s="3299"/>
      <c r="F176" s="3300"/>
      <c r="G176" s="3301"/>
      <c r="H176" s="1"/>
      <c r="I176" s="1"/>
      <c r="J176" s="13"/>
      <c r="K176" s="1"/>
      <c r="L176" s="1"/>
      <c r="M176" s="1860"/>
      <c r="N176" s="69" t="s">
        <v>2777</v>
      </c>
      <c r="O176" s="408">
        <f>+P175/O62</f>
        <v>5393.9375</v>
      </c>
      <c r="Q176" s="926"/>
      <c r="R176" s="3217"/>
      <c r="S176" s="3278"/>
      <c r="T176" s="3278"/>
      <c r="U176" s="3278"/>
      <c r="V176" s="321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7100</v>
      </c>
      <c r="G177" s="1859"/>
      <c r="H177" s="1"/>
      <c r="I177" s="1"/>
      <c r="J177" s="13"/>
      <c r="K177" s="1"/>
      <c r="L177" s="1"/>
      <c r="M177" s="1860"/>
      <c r="O177" s="1042" t="s">
        <v>3756</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216000</v>
      </c>
      <c r="R177" s="3217"/>
      <c r="S177" s="3278"/>
      <c r="T177" s="3278"/>
      <c r="U177" s="3278"/>
      <c r="V177" s="321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7"/>
      <c r="S178" s="3278"/>
      <c r="T178" s="3278"/>
      <c r="U178" s="3278"/>
      <c r="V178" s="321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2774</v>
      </c>
      <c r="K179" s="1"/>
      <c r="L179" s="1"/>
      <c r="M179" s="1"/>
      <c r="N179" s="10" t="s">
        <v>3505</v>
      </c>
      <c r="O179" s="10"/>
      <c r="P179" s="3306">
        <f>P188</f>
        <v>12000</v>
      </c>
      <c r="Q179" s="927"/>
      <c r="R179" s="3217"/>
      <c r="S179" s="3278"/>
      <c r="T179" s="3278"/>
      <c r="U179" s="3278"/>
      <c r="V179" s="321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7">
        <v>3600</v>
      </c>
      <c r="G180" s="3308"/>
      <c r="H180" s="1"/>
      <c r="I180" s="1" t="s">
        <v>1380</v>
      </c>
      <c r="J180" s="481">
        <f>K180/12/O62</f>
        <v>12.5</v>
      </c>
      <c r="K180" s="3304">
        <v>7200</v>
      </c>
      <c r="L180" s="3305"/>
      <c r="M180" s="1854" t="str">
        <f>IF(P179&lt;P188, "WARNING! RR proposed is below the DCA required minimum.","")</f>
        <v/>
      </c>
      <c r="N180" s="1064" t="s">
        <v>3764</v>
      </c>
      <c r="O180" s="1059"/>
      <c r="P180" s="1065">
        <f>P179/O188</f>
        <v>250</v>
      </c>
      <c r="Q180" s="3309"/>
      <c r="R180" s="3217"/>
      <c r="S180" s="3278"/>
      <c r="T180" s="3278"/>
      <c r="U180" s="3278"/>
      <c r="V180" s="321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7"/>
      <c r="G181" s="3308"/>
      <c r="H181" s="1"/>
      <c r="I181" s="1" t="s">
        <v>1381</v>
      </c>
      <c r="J181" s="481">
        <f>K181/12/O62</f>
        <v>0</v>
      </c>
      <c r="K181" s="3304"/>
      <c r="L181" s="3305"/>
      <c r="M181" s="1854"/>
      <c r="N181" s="1855" t="s">
        <v>3763</v>
      </c>
      <c r="O181" s="1856"/>
      <c r="P181" s="1857"/>
      <c r="R181" s="3217"/>
      <c r="S181" s="3278"/>
      <c r="T181" s="3278"/>
      <c r="U181" s="3278"/>
      <c r="V181" s="321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7">
        <v>14000</v>
      </c>
      <c r="G182" s="3308"/>
      <c r="H182" s="1"/>
      <c r="I182" s="1" t="s">
        <v>2368</v>
      </c>
      <c r="J182" s="481">
        <f>K182/12/O62</f>
        <v>10.416666666666666</v>
      </c>
      <c r="K182" s="3304">
        <f>4000+2000</f>
        <v>6000</v>
      </c>
      <c r="L182" s="3305"/>
      <c r="M182" s="1854"/>
      <c r="N182" s="1058" t="s">
        <v>2733</v>
      </c>
      <c r="O182" s="922" t="s">
        <v>3877</v>
      </c>
      <c r="P182" s="1060" t="s">
        <v>3460</v>
      </c>
      <c r="Q182" s="922"/>
      <c r="R182" s="3217"/>
      <c r="S182" s="3278"/>
      <c r="T182" s="3278"/>
      <c r="U182" s="3278"/>
      <c r="V182" s="321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1">
        <v>1400</v>
      </c>
      <c r="G183" s="3292"/>
      <c r="H183" s="1"/>
      <c r="I183" s="1" t="s">
        <v>1383</v>
      </c>
      <c r="J183" s="1"/>
      <c r="K183" s="3304">
        <v>4200</v>
      </c>
      <c r="L183" s="3305"/>
      <c r="M183" s="1854"/>
      <c r="N183" s="672" t="s">
        <v>40</v>
      </c>
      <c r="O183" s="673"/>
      <c r="P183" s="674"/>
      <c r="Q183" s="673"/>
      <c r="R183" s="3217"/>
      <c r="S183" s="3278"/>
      <c r="T183" s="3278"/>
      <c r="U183" s="3278"/>
      <c r="V183" s="321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1"/>
      <c r="G184" s="3292"/>
      <c r="H184" s="1"/>
      <c r="I184" s="3294" t="s">
        <v>52</v>
      </c>
      <c r="J184" s="3295"/>
      <c r="K184" s="3302"/>
      <c r="L184" s="3303"/>
      <c r="M184" s="1854"/>
      <c r="N184" s="516" t="s">
        <v>3452</v>
      </c>
      <c r="O184" s="929" t="str">
        <f>CONCATENATE(SUM(JC48:JG48)," units x $",'DCA Underwriting Assumptions'!$Q$65," =")</f>
        <v>0 units x $350 =</v>
      </c>
      <c r="P184" s="675">
        <f>SUM(JC48:JG48)*'DCA Underwriting Assumptions'!$Q$65</f>
        <v>0</v>
      </c>
      <c r="Q184" s="929"/>
      <c r="R184" s="3217"/>
      <c r="S184" s="3278"/>
      <c r="T184" s="3278"/>
      <c r="U184" s="3278"/>
      <c r="V184" s="321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1">
        <v>7000</v>
      </c>
      <c r="G185" s="3292"/>
      <c r="H185" s="1"/>
      <c r="I185" s="1"/>
      <c r="J185" s="12" t="s">
        <v>193</v>
      </c>
      <c r="K185" s="1850">
        <f>SUM(K180:K184)</f>
        <v>17400</v>
      </c>
      <c r="L185" s="1851"/>
      <c r="M185" s="1854"/>
      <c r="N185" s="516" t="s">
        <v>3451</v>
      </c>
      <c r="O185" s="929" t="str">
        <f>CONCATENATE(SUM(JH48:JL48)," units x $",'DCA Underwriting Assumptions'!$Q$66," =")</f>
        <v>48 units x $250 =</v>
      </c>
      <c r="P185" s="675">
        <f>SUM(JH48:JL48)*'DCA Underwriting Assumptions'!$Q$66</f>
        <v>12000</v>
      </c>
      <c r="Q185" s="929"/>
      <c r="R185" s="3217"/>
      <c r="S185" s="3278"/>
      <c r="T185" s="3278"/>
      <c r="U185" s="3278"/>
      <c r="V185" s="321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1">
        <v>3200</v>
      </c>
      <c r="G186" s="3292"/>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7"/>
      <c r="S186" s="3278"/>
      <c r="T186" s="3278"/>
      <c r="U186" s="3278"/>
      <c r="V186" s="321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7" t="s">
        <v>4707</v>
      </c>
      <c r="C187" s="3298"/>
      <c r="D187" s="3298"/>
      <c r="E187" s="3299"/>
      <c r="F187" s="3300">
        <v>2500</v>
      </c>
      <c r="G187" s="3301"/>
      <c r="H187" s="1"/>
      <c r="I187" s="1"/>
      <c r="J187" s="13"/>
      <c r="K187" s="1"/>
      <c r="L187" s="1"/>
      <c r="M187" s="1"/>
      <c r="N187" s="676" t="s">
        <v>3450</v>
      </c>
      <c r="O187" s="929" t="str">
        <f>CONCATENATE(O84," units x $",'DCA Underwriting Assumptions'!$Q$67," =")</f>
        <v>0 units x $420 =</v>
      </c>
      <c r="P187" s="675">
        <f>O84*'DCA Underwriting Assumptions'!$Q$67</f>
        <v>0</v>
      </c>
      <c r="Q187" s="929"/>
      <c r="R187" s="3217"/>
      <c r="S187" s="3278"/>
      <c r="T187" s="3278"/>
      <c r="U187" s="3278"/>
      <c r="V187" s="321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31700</v>
      </c>
      <c r="G188" s="1853"/>
      <c r="H188" s="1"/>
      <c r="I188" s="1"/>
      <c r="J188" s="13"/>
      <c r="K188" s="1"/>
      <c r="L188" s="1"/>
      <c r="M188" s="1"/>
      <c r="N188" s="1061" t="s">
        <v>2736</v>
      </c>
      <c r="O188" s="1062">
        <f>SUM(JC48:JG48)+SUM(JH48:JL48)+SUM(JM48:JQ48)+O84</f>
        <v>48</v>
      </c>
      <c r="P188" s="1063">
        <f>SUM(P184:P187)</f>
        <v>12000</v>
      </c>
      <c r="Q188" s="929"/>
      <c r="R188" s="3223"/>
      <c r="S188" s="3279"/>
      <c r="T188" s="3279"/>
      <c r="U188" s="3279"/>
      <c r="V188" s="322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270909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10" t="s">
        <v>4691</v>
      </c>
      <c r="B193" s="3310"/>
      <c r="C193" s="3310"/>
      <c r="D193" s="3310"/>
      <c r="E193" s="3310"/>
      <c r="F193" s="3310"/>
      <c r="G193" s="3310"/>
      <c r="H193" s="3310"/>
      <c r="I193" s="3310"/>
      <c r="J193" s="3310"/>
      <c r="K193" s="3310"/>
      <c r="L193" s="3310"/>
      <c r="M193" s="3311"/>
      <c r="N193" s="3311"/>
      <c r="O193" s="3311"/>
      <c r="P193" s="3311"/>
      <c r="Q193" s="1847" t="s">
        <v>4154</v>
      </c>
      <c r="R193" s="1619"/>
      <c r="S193" s="1619"/>
      <c r="T193" s="1619"/>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2rt9/KmvC9dxLKAHhTReVvrIGiuOcIz7goWmDZrFtERvs5egQnRQVe8C1rUb2AUBM+zkpZqKZvklGqzZI1DYXw==" saltValue="zH0vkkkwB/WXlhZAEiKbe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H31"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4.1" customHeight="1">
      <c r="A1" s="1889" t="str">
        <f>CONCATENATE("PART SEVEN - OPERATING PRO FORMA","  -  ",'Part I-Project Information'!$O$6," ",'Part I-Project Information'!$F$34,", ",'Part I-Project Information'!F38,", ",'Part I-Project Information'!J39," County")</f>
        <v>PART SEVEN - OPERATING PRO FORMA  -  2018-046 Abbington on Cheshire Bridge, Atlanta, Fulton County</v>
      </c>
      <c r="B1" s="3212"/>
      <c r="C1" s="3212"/>
      <c r="D1" s="3212"/>
      <c r="E1" s="3212"/>
      <c r="F1" s="3212"/>
      <c r="G1" s="3212"/>
      <c r="H1" s="3212"/>
      <c r="I1" s="3212"/>
      <c r="J1" s="3212"/>
      <c r="K1" s="3213"/>
      <c r="L1" s="10"/>
      <c r="M1" s="10"/>
      <c r="N1" s="1890" t="str">
        <f>A1</f>
        <v>PART SEVEN - OPERATING PRO FORMA  -  2018-046 Abbington on Cheshire Bridge, Atlanta, Fulton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2204</v>
      </c>
      <c r="B5" s="80">
        <v>0.02</v>
      </c>
      <c r="C5" s="17"/>
      <c r="D5" s="1862" t="s">
        <v>4234</v>
      </c>
      <c r="E5" s="1862"/>
      <c r="F5" s="1862"/>
      <c r="G5" s="3214">
        <f>4600+2500</f>
        <v>7100</v>
      </c>
      <c r="H5" s="99" t="s">
        <v>1922</v>
      </c>
      <c r="K5" s="104">
        <f>IF(($B$14+$B$15+$B$16+$B$17)=0,"",B28/($B$14+$B$15+$B$16+$B$17))</f>
        <v>-1.7217639071003012E-2</v>
      </c>
      <c r="N5" s="3215"/>
      <c r="O5" s="3216"/>
    </row>
    <row r="6" spans="1:19">
      <c r="A6" s="17" t="s">
        <v>2205</v>
      </c>
      <c r="B6" s="80">
        <v>0.03</v>
      </c>
      <c r="C6" s="17"/>
      <c r="D6" s="1862"/>
      <c r="E6" s="1862"/>
      <c r="F6" s="1862"/>
      <c r="G6" s="1364">
        <f>IF(OR('Part III-Sources of Funds'!B11="Yes",'Part III-Sources of Funds'!E11&gt;0),'DCA Underwriting Assumptions'!$Q$95,0)</f>
        <v>0</v>
      </c>
      <c r="H6" s="17"/>
      <c r="I6" s="17"/>
      <c r="J6" s="17"/>
      <c r="K6" s="17"/>
      <c r="N6" s="3217"/>
      <c r="O6" s="3218"/>
    </row>
    <row r="7" spans="1:19">
      <c r="A7" s="17" t="s">
        <v>2207</v>
      </c>
      <c r="B7" s="80">
        <v>0.03</v>
      </c>
      <c r="C7" s="17"/>
      <c r="D7" s="82" t="s">
        <v>272</v>
      </c>
      <c r="G7" s="84"/>
      <c r="H7" s="99" t="s">
        <v>2390</v>
      </c>
      <c r="K7" s="104">
        <f>IF(($B$14+$B$15+$B$16+$B$17)=0,"",-B20/($B$14+$B$15+$B$16+$B$17))</f>
        <v>4.999905385435776E-2</v>
      </c>
      <c r="N7" s="3217"/>
      <c r="O7" s="3218"/>
    </row>
    <row r="8" spans="1:19" ht="13.35" customHeight="1">
      <c r="A8" s="17" t="s">
        <v>2206</v>
      </c>
      <c r="B8" s="3219">
        <v>7.0000000000000007E-2</v>
      </c>
      <c r="C8" s="17"/>
      <c r="D8" s="81" t="s">
        <v>2525</v>
      </c>
      <c r="G8" s="3220"/>
      <c r="H8" s="169" t="s">
        <v>1456</v>
      </c>
      <c r="K8" s="3221"/>
      <c r="N8" s="3217"/>
      <c r="O8" s="3218"/>
    </row>
    <row r="9" spans="1:19">
      <c r="A9" s="17" t="s">
        <v>1430</v>
      </c>
      <c r="B9" s="80">
        <v>0.02</v>
      </c>
      <c r="D9" s="81" t="s">
        <v>1731</v>
      </c>
      <c r="G9" s="3220" t="s">
        <v>3011</v>
      </c>
      <c r="H9" s="169" t="s">
        <v>2372</v>
      </c>
      <c r="K9" s="3222">
        <v>0.05</v>
      </c>
      <c r="N9" s="3223"/>
      <c r="O9" s="3224"/>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35" customHeight="1">
      <c r="A14" s="19" t="s">
        <v>2420</v>
      </c>
      <c r="B14" s="20">
        <f>'Part VI-Revenues &amp; Expenses'!$L$49</f>
        <v>434712</v>
      </c>
      <c r="C14" s="20">
        <f t="shared" ref="C14:K14" si="1">$B$14*(1+$B$5)^(C13-1)</f>
        <v>443406.24</v>
      </c>
      <c r="D14" s="20">
        <f t="shared" si="1"/>
        <v>452274.36479999998</v>
      </c>
      <c r="E14" s="20">
        <f t="shared" si="1"/>
        <v>461319.85209599999</v>
      </c>
      <c r="F14" s="20">
        <f t="shared" si="1"/>
        <v>470546.24913791998</v>
      </c>
      <c r="G14" s="20">
        <f t="shared" si="1"/>
        <v>479957.17412067839</v>
      </c>
      <c r="H14" s="20">
        <f t="shared" si="1"/>
        <v>489556.317603092</v>
      </c>
      <c r="I14" s="20">
        <f t="shared" si="1"/>
        <v>499347.44395515375</v>
      </c>
      <c r="J14" s="20">
        <f t="shared" si="1"/>
        <v>509334.39283425687</v>
      </c>
      <c r="K14" s="21">
        <f t="shared" si="1"/>
        <v>519521.08069094201</v>
      </c>
      <c r="N14" s="3215"/>
      <c r="O14" s="3216"/>
      <c r="S14" s="1885" t="s">
        <v>4239</v>
      </c>
    </row>
    <row r="15" spans="1:19" ht="13.35" customHeight="1">
      <c r="A15" s="22" t="s">
        <v>1026</v>
      </c>
      <c r="B15" s="23">
        <f>MIN(B14*B9,'Part VI-Revenues &amp; Expenses'!$H$122)</f>
        <v>8694.24</v>
      </c>
      <c r="C15" s="23">
        <f t="shared" ref="C15:K15" si="2">$B$15*(1+$B$5)^(C13-1)</f>
        <v>8868.1247999999996</v>
      </c>
      <c r="D15" s="23">
        <f t="shared" si="2"/>
        <v>9045.4872959999993</v>
      </c>
      <c r="E15" s="23">
        <f t="shared" si="2"/>
        <v>9226.3970419199995</v>
      </c>
      <c r="F15" s="23">
        <f t="shared" si="2"/>
        <v>9410.924982758399</v>
      </c>
      <c r="G15" s="23">
        <f t="shared" si="2"/>
        <v>9599.1434824135686</v>
      </c>
      <c r="H15" s="23">
        <f t="shared" si="2"/>
        <v>9791.1263520618395</v>
      </c>
      <c r="I15" s="23">
        <f t="shared" si="2"/>
        <v>9986.9488791030744</v>
      </c>
      <c r="J15" s="23">
        <f t="shared" si="2"/>
        <v>10186.687856685137</v>
      </c>
      <c r="K15" s="24">
        <f t="shared" si="2"/>
        <v>10390.42161381884</v>
      </c>
      <c r="N15" s="3217"/>
      <c r="O15" s="3218"/>
      <c r="S15" s="1886"/>
    </row>
    <row r="16" spans="1:19" ht="13.35" customHeight="1">
      <c r="A16" s="22" t="s">
        <v>2421</v>
      </c>
      <c r="B16" s="23">
        <f t="shared" ref="B16:K16" si="3">-(B14+B15)*$B$8</f>
        <v>-31038.436800000003</v>
      </c>
      <c r="C16" s="23">
        <f t="shared" si="3"/>
        <v>-31659.205536000001</v>
      </c>
      <c r="D16" s="23">
        <f t="shared" si="3"/>
        <v>-32292.389646720003</v>
      </c>
      <c r="E16" s="23">
        <f t="shared" si="3"/>
        <v>-32938.237439654404</v>
      </c>
      <c r="F16" s="23">
        <f t="shared" si="3"/>
        <v>-33597.002188447492</v>
      </c>
      <c r="G16" s="23">
        <f t="shared" si="3"/>
        <v>-34268.942232216439</v>
      </c>
      <c r="H16" s="23">
        <f t="shared" si="3"/>
        <v>-34954.321076860775</v>
      </c>
      <c r="I16" s="23">
        <f t="shared" si="3"/>
        <v>-35653.407498397981</v>
      </c>
      <c r="J16" s="23">
        <f t="shared" si="3"/>
        <v>-36366.475648365944</v>
      </c>
      <c r="K16" s="24">
        <f t="shared" si="3"/>
        <v>-37093.805161333265</v>
      </c>
      <c r="N16" s="3217"/>
      <c r="O16" s="3218"/>
      <c r="Q16" s="1888" t="s">
        <v>3913</v>
      </c>
      <c r="R16" s="1888" t="s">
        <v>4238</v>
      </c>
      <c r="S16" s="1886"/>
    </row>
    <row r="17" spans="1:19" ht="13.3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7"/>
      <c r="O17" s="3218"/>
      <c r="Q17" s="1888"/>
      <c r="R17" s="1888"/>
      <c r="S17" s="1887"/>
    </row>
    <row r="18" spans="1:19"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7"/>
      <c r="O18" s="3218"/>
    </row>
    <row r="19" spans="1:19" ht="13.35" customHeight="1">
      <c r="A19" s="22" t="s">
        <v>620</v>
      </c>
      <c r="B19" s="23">
        <f>-('Part VI-Revenues &amp; Expenses'!$P$175-'Part VI-Revenues &amp; Expenses'!$P$170)</f>
        <v>-238291</v>
      </c>
      <c r="C19" s="23">
        <f t="shared" ref="C19:K19" si="4">$B$19*(1+$B$6)^(C13-1)</f>
        <v>-245439.73</v>
      </c>
      <c r="D19" s="23">
        <f t="shared" si="4"/>
        <v>-252802.92189999999</v>
      </c>
      <c r="E19" s="23">
        <f t="shared" si="4"/>
        <v>-260387.00955700001</v>
      </c>
      <c r="F19" s="23">
        <f t="shared" si="4"/>
        <v>-268198.61984370998</v>
      </c>
      <c r="G19" s="23">
        <f t="shared" si="4"/>
        <v>-276244.57843902125</v>
      </c>
      <c r="H19" s="23">
        <f t="shared" si="4"/>
        <v>-284531.91579219192</v>
      </c>
      <c r="I19" s="23">
        <f t="shared" si="4"/>
        <v>-293067.87326595769</v>
      </c>
      <c r="J19" s="23">
        <f t="shared" si="4"/>
        <v>-301859.9094639364</v>
      </c>
      <c r="K19" s="24">
        <f t="shared" si="4"/>
        <v>-310915.70674785448</v>
      </c>
      <c r="N19" s="3217"/>
      <c r="O19" s="3218"/>
      <c r="Q19" s="63">
        <v>1</v>
      </c>
      <c r="R19" s="1197">
        <f>-B29</f>
        <v>22025</v>
      </c>
      <c r="S19" s="1197">
        <f>B30+R19</f>
        <v>22024.747891876214</v>
      </c>
    </row>
    <row r="20" spans="1:19" ht="13.35" customHeight="1">
      <c r="A20" s="22" t="s">
        <v>1125</v>
      </c>
      <c r="B20" s="23">
        <f>IF(AND('Part VII-Pro Forma'!$G$8="Yes",'Part VII-Pro Forma'!$G$9="Yes"),"Choose One!",IF('Part VII-Pro Forma'!$G$8="Yes",ROUND((-$K$8*(1+'Part VII-Pro Forma'!$B$6)^('Part VII-Pro Forma'!B13-1)),),IF('Part VII-Pro Forma'!$G$9="Yes",ROUND((-(SUM(B14:B17)*'Part VII-Pro Forma'!$K$9)),),"Choose mgt fee")))</f>
        <v>-20618</v>
      </c>
      <c r="C20" s="23">
        <f>IF(AND('Part VII-Pro Forma'!$G$8="Yes",'Part VII-Pro Forma'!$G$9="Yes"),"Choose One!",IF('Part VII-Pro Forma'!$G$8="Yes",ROUND((-$K$8*(1+'Part VII-Pro Forma'!$B$6)^('Part VII-Pro Forma'!C13-1)),),IF('Part VII-Pro Forma'!$G$9="Yes",ROUND((-(SUM(C14:C17)*'Part VII-Pro Forma'!$K$9)),),"Choose mgt fee")))</f>
        <v>-21031</v>
      </c>
      <c r="D20" s="23">
        <f>IF(AND('Part VII-Pro Forma'!$G$8="Yes",'Part VII-Pro Forma'!$G$9="Yes"),"Choose One!",IF('Part VII-Pro Forma'!$G$8="Yes",ROUND((-$K$8*(1+'Part VII-Pro Forma'!$B$6)^('Part VII-Pro Forma'!D13-1)),),IF('Part VII-Pro Forma'!$G$9="Yes",ROUND((-(SUM(D14:D17)*'Part VII-Pro Forma'!$K$9)),),"Choose mgt fee")))</f>
        <v>-21451</v>
      </c>
      <c r="E20" s="23">
        <f>IF(AND('Part VII-Pro Forma'!$G$8="Yes",'Part VII-Pro Forma'!$G$9="Yes"),"Choose One!",IF('Part VII-Pro Forma'!$G$8="Yes",ROUND((-$K$8*(1+'Part VII-Pro Forma'!$B$6)^('Part VII-Pro Forma'!E13-1)),),IF('Part VII-Pro Forma'!$G$9="Yes",ROUND((-(SUM(E14:E17)*'Part VII-Pro Forma'!$K$9)),),"Choose mgt fee")))</f>
        <v>-21880</v>
      </c>
      <c r="F20" s="23">
        <f>IF(AND('Part VII-Pro Forma'!$G$8="Yes",'Part VII-Pro Forma'!$G$9="Yes"),"Choose One!",IF('Part VII-Pro Forma'!$G$8="Yes",ROUND((-$K$8*(1+'Part VII-Pro Forma'!$B$6)^('Part VII-Pro Forma'!F13-1)),),IF('Part VII-Pro Forma'!$G$9="Yes",ROUND((-(SUM(F14:F17)*'Part VII-Pro Forma'!$K$9)),),"Choose mgt fee")))</f>
        <v>-22318</v>
      </c>
      <c r="G20" s="23">
        <f>IF(AND('Part VII-Pro Forma'!$G$8="Yes",'Part VII-Pro Forma'!$G$9="Yes"),"Choose One!",IF('Part VII-Pro Forma'!$G$8="Yes",ROUND((-$K$8*(1+'Part VII-Pro Forma'!$B$6)^('Part VII-Pro Forma'!G13-1)),),IF('Part VII-Pro Forma'!$G$9="Yes",ROUND((-(SUM(G14:G17)*'Part VII-Pro Forma'!$K$9)),),"Choose mgt fee")))</f>
        <v>-22764</v>
      </c>
      <c r="H20" s="23">
        <f>IF(AND('Part VII-Pro Forma'!$G$8="Yes",'Part VII-Pro Forma'!$G$9="Yes"),"Choose One!",IF('Part VII-Pro Forma'!$G$8="Yes",ROUND((-$K$8*(1+'Part VII-Pro Forma'!$B$6)^('Part VII-Pro Forma'!H13-1)),),IF('Part VII-Pro Forma'!$G$9="Yes",ROUND((-(SUM(H14:H17)*'Part VII-Pro Forma'!$K$9)),),"Choose mgt fee")))</f>
        <v>-23220</v>
      </c>
      <c r="I20" s="23">
        <f>IF(AND('Part VII-Pro Forma'!$G$8="Yes",'Part VII-Pro Forma'!$G$9="Yes"),"Choose One!",IF('Part VII-Pro Forma'!$G$8="Yes",ROUND((-$K$8*(1+'Part VII-Pro Forma'!$B$6)^('Part VII-Pro Forma'!I13-1)),),IF('Part VII-Pro Forma'!$G$9="Yes",ROUND((-(SUM(I14:I17)*'Part VII-Pro Forma'!$K$9)),),"Choose mgt fee")))</f>
        <v>-23684</v>
      </c>
      <c r="J20" s="23">
        <f>IF(AND('Part VII-Pro Forma'!$G$8="Yes",'Part VII-Pro Forma'!$G$9="Yes"),"Choose One!",IF('Part VII-Pro Forma'!$G$8="Yes",ROUND((-$K$8*(1+'Part VII-Pro Forma'!$B$6)^('Part VII-Pro Forma'!J13-1)),),IF('Part VII-Pro Forma'!$G$9="Yes",ROUND((-(SUM(J14:J17)*'Part VII-Pro Forma'!$K$9)),),"Choose mgt fee")))</f>
        <v>-24158</v>
      </c>
      <c r="K20" s="23">
        <f>IF(AND('Part VII-Pro Forma'!$G$8="Yes",'Part VII-Pro Forma'!$G$9="Yes"),"Choose One!",IF('Part VII-Pro Forma'!$G$8="Yes",ROUND((-$K$8*(1+'Part VII-Pro Forma'!$B$6)^('Part VII-Pro Forma'!K13-1)),),IF('Part VII-Pro Forma'!$G$9="Yes",ROUND((-(SUM(K14:K17)*'Part VII-Pro Forma'!$K$9)),),"Choose mgt fee")))</f>
        <v>-24641</v>
      </c>
      <c r="N20" s="3217"/>
      <c r="O20" s="3218"/>
      <c r="Q20" s="63">
        <v>2</v>
      </c>
      <c r="R20" s="1197">
        <f>-SUM($B$29:$C$29)</f>
        <v>44237</v>
      </c>
      <c r="S20" s="1197">
        <f>SUM($B$30:$C$30)+R20</f>
        <v>44237.121847752409</v>
      </c>
    </row>
    <row r="21" spans="1:19" ht="13.35" customHeight="1">
      <c r="A21" s="22" t="s">
        <v>1214</v>
      </c>
      <c r="B21" s="23">
        <f>-('Part VI-Revenues &amp; Expenses'!$P$179)</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N21" s="3217"/>
      <c r="O21" s="3218"/>
      <c r="Q21" s="63">
        <v>3</v>
      </c>
      <c r="R21" s="1197">
        <f>-SUM($B$29:$D$29)</f>
        <v>66566</v>
      </c>
      <c r="S21" s="1197">
        <f>SUM($B$30:$D$30)+R21</f>
        <v>66565.667088908638</v>
      </c>
    </row>
    <row r="22" spans="1:19" ht="13.35" customHeight="1">
      <c r="A22" s="22" t="s">
        <v>1215</v>
      </c>
      <c r="B22" s="23">
        <f t="shared" ref="B22:K22" si="6">SUM(B14:B21)</f>
        <v>141458.80319999997</v>
      </c>
      <c r="C22" s="23">
        <f t="shared" si="6"/>
        <v>141784.42926399995</v>
      </c>
      <c r="D22" s="23">
        <f t="shared" si="6"/>
        <v>142042.74054927999</v>
      </c>
      <c r="E22" s="23">
        <f t="shared" si="6"/>
        <v>142228.27814126556</v>
      </c>
      <c r="F22" s="23">
        <f t="shared" si="6"/>
        <v>142337.4463685209</v>
      </c>
      <c r="G22" s="23">
        <f t="shared" si="6"/>
        <v>142367.50804025427</v>
      </c>
      <c r="H22" s="23">
        <f t="shared" si="6"/>
        <v>142312.57952775317</v>
      </c>
      <c r="I22" s="23">
        <f t="shared" si="6"/>
        <v>142170.62568480271</v>
      </c>
      <c r="J22" s="23">
        <f t="shared" si="6"/>
        <v>141935.45460198828</v>
      </c>
      <c r="K22" s="24">
        <f t="shared" si="6"/>
        <v>141603.71218962217</v>
      </c>
      <c r="N22" s="3217"/>
      <c r="O22" s="3218"/>
      <c r="Q22" s="1040">
        <v>4</v>
      </c>
      <c r="R22" s="1197">
        <f>-SUM($B$29:$E$29)</f>
        <v>67172</v>
      </c>
      <c r="S22" s="1197">
        <f>SUM($B$30:$E$30)+R22</f>
        <v>88933.34572205045</v>
      </c>
    </row>
    <row r="23" spans="1:19" ht="13.35" customHeight="1">
      <c r="A23" s="435" t="s">
        <v>1603</v>
      </c>
      <c r="B23" s="3225">
        <f>IF('Part III-Sources of Funds'!$N$37="", 0,-'Part III-Sources of Funds'!$N$37)</f>
        <v>-59108.851240933596</v>
      </c>
      <c r="C23" s="3225">
        <f>IF('Part III-Sources of Funds'!$N$37="", 0,-'Part III-Sources of Funds'!$N$37)</f>
        <v>-59108.851240933596</v>
      </c>
      <c r="D23" s="3225">
        <f>IF('Part III-Sources of Funds'!$N$37="", 0,-'Part III-Sources of Funds'!$N$37)</f>
        <v>-59108.851240933596</v>
      </c>
      <c r="E23" s="3225">
        <f>IF('Part III-Sources of Funds'!$N$37="", 0,-'Part III-Sources of Funds'!$N$37)</f>
        <v>-59108.851240933596</v>
      </c>
      <c r="F23" s="3225">
        <f>IF('Part III-Sources of Funds'!$N$37="", 0,-'Part III-Sources of Funds'!$N$37)</f>
        <v>-59108.851240933596</v>
      </c>
      <c r="G23" s="3225">
        <f>IF('Part III-Sources of Funds'!$N$37="", 0,-'Part III-Sources of Funds'!$N$37)</f>
        <v>-59108.851240933596</v>
      </c>
      <c r="H23" s="3225">
        <f>IF('Part III-Sources of Funds'!$N$37="", 0,-'Part III-Sources of Funds'!$N$37)</f>
        <v>-59108.851240933596</v>
      </c>
      <c r="I23" s="3225">
        <f>IF('Part III-Sources of Funds'!$N$37="", 0,-'Part III-Sources of Funds'!$N$37)</f>
        <v>-59108.851240933596</v>
      </c>
      <c r="J23" s="3225">
        <f>IF('Part III-Sources of Funds'!$N$37="", 0,-'Part III-Sources of Funds'!$N$37)</f>
        <v>-59108.851240933596</v>
      </c>
      <c r="K23" s="3225">
        <f>IF('Part III-Sources of Funds'!$N$37="", 0,-'Part III-Sources of Funds'!$N$37)</f>
        <v>-59108.851240933596</v>
      </c>
      <c r="N23" s="3217"/>
      <c r="O23" s="3218"/>
      <c r="Q23" s="1040">
        <v>5</v>
      </c>
      <c r="R23" s="1197">
        <f>-SUM($B$29:$F$29)</f>
        <v>67172</v>
      </c>
      <c r="S23" s="1197">
        <f>SUM($B$30:$F$30)+R23</f>
        <v>111259.39625644761</v>
      </c>
    </row>
    <row r="24" spans="1:19" ht="13.35" customHeight="1">
      <c r="A24" s="435" t="s">
        <v>1604</v>
      </c>
      <c r="B24" s="3226">
        <f>IF('Part III-Sources of Funds'!$N$38="", 0,-'Part III-Sources of Funds'!$N$38)</f>
        <v>-53225.204067190156</v>
      </c>
      <c r="C24" s="3226">
        <f>IF('Part III-Sources of Funds'!$N$38="", 0,-'Part III-Sources of Funds'!$N$38)</f>
        <v>-53225.204067190156</v>
      </c>
      <c r="D24" s="3226">
        <f>IF('Part III-Sources of Funds'!$N$38="", 0,-'Part III-Sources of Funds'!$N$38)</f>
        <v>-53225.204067190156</v>
      </c>
      <c r="E24" s="3226">
        <f>IF('Part III-Sources of Funds'!$N$38="", 0,-'Part III-Sources of Funds'!$N$38)</f>
        <v>-53225.204067190156</v>
      </c>
      <c r="F24" s="3226">
        <f>IF('Part III-Sources of Funds'!$N$38="", 0,-'Part III-Sources of Funds'!$N$38)</f>
        <v>-53225.204067190156</v>
      </c>
      <c r="G24" s="3226">
        <f>IF('Part III-Sources of Funds'!$N$38="", 0,-'Part III-Sources of Funds'!$N$38)</f>
        <v>-53225.204067190156</v>
      </c>
      <c r="H24" s="3226">
        <f>IF('Part III-Sources of Funds'!$N$38="", 0,-'Part III-Sources of Funds'!$N$38)</f>
        <v>-53225.204067190156</v>
      </c>
      <c r="I24" s="3226">
        <f>IF('Part III-Sources of Funds'!$N$38="", 0,-'Part III-Sources of Funds'!$N$38)</f>
        <v>-53225.204067190156</v>
      </c>
      <c r="J24" s="3226">
        <f>IF('Part III-Sources of Funds'!$N$38="", 0,-'Part III-Sources of Funds'!$N$38)</f>
        <v>-53225.204067190156</v>
      </c>
      <c r="K24" s="3226">
        <f>IF('Part III-Sources of Funds'!$N$38="", 0,-'Part III-Sources of Funds'!$N$38)</f>
        <v>-53225.204067190156</v>
      </c>
      <c r="N24" s="3217"/>
      <c r="O24" s="3218"/>
      <c r="Q24" s="1040">
        <v>6</v>
      </c>
      <c r="R24" s="1197">
        <f>-SUM($B$29:$G$29)</f>
        <v>67172</v>
      </c>
      <c r="S24" s="1197">
        <f>SUM($B$30:$G$30)+R24</f>
        <v>133460.18824679812</v>
      </c>
    </row>
    <row r="25" spans="1:19" ht="13.35" customHeight="1">
      <c r="A25" s="435" t="s">
        <v>1605</v>
      </c>
      <c r="B25" s="3226">
        <f>IF('Part III-Sources of Funds'!$N$39="", 0,-'Part III-Sources of Funds'!$N$39)</f>
        <v>0</v>
      </c>
      <c r="C25" s="3226">
        <f>IF('Part III-Sources of Funds'!$N$39="", 0,-'Part III-Sources of Funds'!$N$39)</f>
        <v>0</v>
      </c>
      <c r="D25" s="3226">
        <f>IF('Part III-Sources of Funds'!$N$39="", 0,-'Part III-Sources of Funds'!$N$39)</f>
        <v>0</v>
      </c>
      <c r="E25" s="3226">
        <f>IF('Part III-Sources of Funds'!$N$39="", 0,-'Part III-Sources of Funds'!$N$39)</f>
        <v>0</v>
      </c>
      <c r="F25" s="3226">
        <f>IF('Part III-Sources of Funds'!$N$39="", 0,-'Part III-Sources of Funds'!$N$39)</f>
        <v>0</v>
      </c>
      <c r="G25" s="3226">
        <f>IF('Part III-Sources of Funds'!$N$39="", 0,-'Part III-Sources of Funds'!$N$39)</f>
        <v>0</v>
      </c>
      <c r="H25" s="3226">
        <f>IF('Part III-Sources of Funds'!$N$39="", 0,-'Part III-Sources of Funds'!$N$39)</f>
        <v>0</v>
      </c>
      <c r="I25" s="3226">
        <f>IF('Part III-Sources of Funds'!$N$39="", 0,-'Part III-Sources of Funds'!$N$39)</f>
        <v>0</v>
      </c>
      <c r="J25" s="3226">
        <f>IF('Part III-Sources of Funds'!$N$39="", 0,-'Part III-Sources of Funds'!$N$39)</f>
        <v>0</v>
      </c>
      <c r="K25" s="3226">
        <f>IF('Part III-Sources of Funds'!$N$39="", 0,-'Part III-Sources of Funds'!$N$39)</f>
        <v>0</v>
      </c>
      <c r="N25" s="3217"/>
      <c r="O25" s="3218"/>
      <c r="Q25" s="1040">
        <v>7</v>
      </c>
      <c r="R25" s="1197">
        <f>-SUM($B$29:$H$29)</f>
        <v>67172</v>
      </c>
      <c r="S25" s="1197">
        <f>SUM($B$30:$H$30)+R25</f>
        <v>155446.07190239415</v>
      </c>
    </row>
    <row r="26" spans="1:19" ht="13.35" customHeight="1">
      <c r="A26" s="435" t="s">
        <v>3880</v>
      </c>
      <c r="B26" s="3226">
        <f>IF('Part III-Sources of Funds'!$N$40="", 0,-'Part III-Sources of Funds'!$N$40)</f>
        <v>0</v>
      </c>
      <c r="C26" s="3226">
        <f>IF('Part III-Sources of Funds'!$N$40="", 0,-'Part III-Sources of Funds'!$N$40)</f>
        <v>0</v>
      </c>
      <c r="D26" s="3226">
        <f>IF('Part III-Sources of Funds'!$N$40="", 0,-'Part III-Sources of Funds'!$N$40)</f>
        <v>0</v>
      </c>
      <c r="E26" s="3226">
        <f>IF('Part III-Sources of Funds'!$N$40="", 0,-'Part III-Sources of Funds'!$N$40)</f>
        <v>0</v>
      </c>
      <c r="F26" s="3226">
        <f>IF('Part III-Sources of Funds'!$N$40="", 0,-'Part III-Sources of Funds'!$N$40)</f>
        <v>0</v>
      </c>
      <c r="G26" s="3226">
        <f>IF('Part III-Sources of Funds'!$N$40="", 0,-'Part III-Sources of Funds'!$N$40)</f>
        <v>0</v>
      </c>
      <c r="H26" s="3226">
        <f>IF('Part III-Sources of Funds'!$N$40="", 0,-'Part III-Sources of Funds'!$N$40)</f>
        <v>0</v>
      </c>
      <c r="I26" s="3226">
        <f>IF('Part III-Sources of Funds'!$N$40="", 0,-'Part III-Sources of Funds'!$N$40)</f>
        <v>0</v>
      </c>
      <c r="J26" s="3226">
        <f>IF('Part III-Sources of Funds'!$N$40="", 0,-'Part III-Sources of Funds'!$N$40)</f>
        <v>0</v>
      </c>
      <c r="K26" s="3226">
        <f>IF('Part III-Sources of Funds'!$N$40="", 0,-'Part III-Sources of Funds'!$N$40)</f>
        <v>0</v>
      </c>
      <c r="N26" s="3217"/>
      <c r="O26" s="3218"/>
      <c r="Q26" s="1040">
        <v>8</v>
      </c>
      <c r="R26" s="1197">
        <f>-SUM($B$29:$I$29)</f>
        <v>67172</v>
      </c>
      <c r="S26" s="1197">
        <f>SUM($B$30:$I$30)+R26</f>
        <v>177125.2224981187</v>
      </c>
    </row>
    <row r="27" spans="1:19" ht="13.35" customHeight="1">
      <c r="A27" s="22" t="s">
        <v>771</v>
      </c>
      <c r="B27" s="3227"/>
      <c r="C27" s="3227"/>
      <c r="D27" s="3227"/>
      <c r="E27" s="3227"/>
      <c r="F27" s="3227"/>
      <c r="G27" s="3227"/>
      <c r="H27" s="3227"/>
      <c r="I27" s="3227"/>
      <c r="J27" s="3227"/>
      <c r="K27" s="3227"/>
      <c r="N27" s="3217"/>
      <c r="O27" s="3218"/>
      <c r="Q27" s="1040">
        <v>9</v>
      </c>
      <c r="R27" s="1197">
        <f>-SUM($B$29:$J$29)</f>
        <v>67172</v>
      </c>
      <c r="S27" s="1197">
        <f>SUM($B$30:$J$30)+R27</f>
        <v>198399.4794176002</v>
      </c>
    </row>
    <row r="28" spans="1:19" ht="13.35" customHeight="1">
      <c r="A28" s="435" t="s">
        <v>1174</v>
      </c>
      <c r="B28" s="3228">
        <f>-$G$5</f>
        <v>-7100</v>
      </c>
      <c r="C28" s="3228">
        <f>-(4600*1.03^1)-2500</f>
        <v>-7238</v>
      </c>
      <c r="D28" s="3228">
        <f>-(4600*1.03^2)-2500</f>
        <v>-7380.1399999999994</v>
      </c>
      <c r="E28" s="3228">
        <f>-(4600*1.03^3)-2500</f>
        <v>-7526.5442000000003</v>
      </c>
      <c r="F28" s="3228">
        <f>-(4600*1.03^4)-2500</f>
        <v>-7677.340526</v>
      </c>
      <c r="G28" s="3228">
        <f>-(4600*1.03^5)-2500</f>
        <v>-7832.6607417799996</v>
      </c>
      <c r="H28" s="3228">
        <f>-(4600*1.03^6)-2500</f>
        <v>-7992.6405640333996</v>
      </c>
      <c r="I28" s="3228">
        <f>-(4600*1.03^7)-2500</f>
        <v>-8157.4197809544021</v>
      </c>
      <c r="J28" s="3228">
        <f>-(4600*1.03^8)-2500</f>
        <v>-8327.1423743830346</v>
      </c>
      <c r="K28" s="3228">
        <f>-(4600*1.03^9)-2500</f>
        <v>-8501.9566456145258</v>
      </c>
      <c r="N28" s="3217"/>
      <c r="O28" s="3218"/>
      <c r="Q28" s="1040">
        <v>10</v>
      </c>
      <c r="R28" s="1197">
        <f>-SUM($B$29:$K$29)</f>
        <v>67172</v>
      </c>
      <c r="S28" s="1197">
        <f>SUM($B$30:$K$30)+R28</f>
        <v>219167.17965348408</v>
      </c>
    </row>
    <row r="29" spans="1:19" ht="13.35" customHeight="1">
      <c r="A29" s="435" t="s">
        <v>4128</v>
      </c>
      <c r="B29" s="3229">
        <v>-22025</v>
      </c>
      <c r="C29" s="3229">
        <v>-22212</v>
      </c>
      <c r="D29" s="3229">
        <v>-22329</v>
      </c>
      <c r="E29" s="3229">
        <v>-606</v>
      </c>
      <c r="F29" s="3229">
        <f>IF('Part III-Sources of Funds'!$N$42="", 0,-'Part III-Sources of Funds'!$N$42)</f>
        <v>0</v>
      </c>
      <c r="G29" s="3229">
        <f>IF('Part III-Sources of Funds'!$N$42="", 0,-'Part III-Sources of Funds'!$N$42)</f>
        <v>0</v>
      </c>
      <c r="H29" s="3229">
        <f>IF('Part III-Sources of Funds'!$N$42="", 0,-'Part III-Sources of Funds'!$N$42)</f>
        <v>0</v>
      </c>
      <c r="I29" s="3229">
        <f>IF('Part III-Sources of Funds'!$N$42="", 0,-'Part III-Sources of Funds'!$N$42)</f>
        <v>0</v>
      </c>
      <c r="J29" s="3229">
        <f>IF('Part III-Sources of Funds'!$N$42="", 0,-'Part III-Sources of Funds'!$N$42)</f>
        <v>0</v>
      </c>
      <c r="K29" s="3229">
        <f>IF('Part III-Sources of Funds'!$N$42="", 0,-'Part III-Sources of Funds'!$N$42)</f>
        <v>0</v>
      </c>
      <c r="N29" s="3217"/>
      <c r="O29" s="3218"/>
      <c r="Q29" s="1040">
        <v>11</v>
      </c>
      <c r="R29" s="1197">
        <f>-SUM($B$29:$K$29)-$B$59</f>
        <v>67172</v>
      </c>
      <c r="S29" s="1197">
        <f>SUM($B$30:$K$30)+$B$60+R29</f>
        <v>239320.98558425391</v>
      </c>
    </row>
    <row r="30" spans="1:19" ht="13.35" customHeight="1">
      <c r="A30" s="22" t="s">
        <v>1175</v>
      </c>
      <c r="B30" s="23">
        <f>SUM(B22:B29)</f>
        <v>-0.25210812378645642</v>
      </c>
      <c r="C30" s="23">
        <f t="shared" ref="C30:K30" si="7">SUM(C22:C29)</f>
        <v>0.37395587619539583</v>
      </c>
      <c r="D30" s="23">
        <f t="shared" si="7"/>
        <v>-0.4547588437635568</v>
      </c>
      <c r="E30" s="23">
        <f t="shared" si="7"/>
        <v>21761.678633141808</v>
      </c>
      <c r="F30" s="23">
        <f t="shared" si="7"/>
        <v>22326.050534397153</v>
      </c>
      <c r="G30" s="23">
        <f t="shared" si="7"/>
        <v>22200.791990350514</v>
      </c>
      <c r="H30" s="23">
        <f t="shared" si="7"/>
        <v>21985.883655596022</v>
      </c>
      <c r="I30" s="23">
        <f t="shared" si="7"/>
        <v>21679.150595724557</v>
      </c>
      <c r="J30" s="23">
        <f t="shared" si="7"/>
        <v>21274.256919481497</v>
      </c>
      <c r="K30" s="23">
        <f t="shared" si="7"/>
        <v>20767.700235883887</v>
      </c>
      <c r="N30" s="3217"/>
      <c r="O30" s="3218"/>
      <c r="Q30" s="1040">
        <v>12</v>
      </c>
      <c r="R30" s="1197">
        <f>-SUM($B$29:$K$29) - SUM($B$59:$C$59)</f>
        <v>67172</v>
      </c>
      <c r="S30" s="1197">
        <f>SUM($B$30:$K$30) + SUM($B$60:$C$60)+R30</f>
        <v>258749.70684132757</v>
      </c>
    </row>
    <row r="31" spans="1:19" ht="13.35" customHeight="1">
      <c r="A31" s="22" t="str">
        <f>IF('Part III-Sources of Funds'!$E$37 = "Neither", "", "DCR Mortgage A")</f>
        <v>DCR Mortgage A</v>
      </c>
      <c r="B31" s="25">
        <f t="shared" ref="B31:K31" si="8">IF(B23=0,"",-B22/B23)</f>
        <v>2.3931915479696895</v>
      </c>
      <c r="C31" s="25">
        <f t="shared" si="8"/>
        <v>2.3987004701896915</v>
      </c>
      <c r="D31" s="25">
        <f t="shared" si="8"/>
        <v>2.4030705650207875</v>
      </c>
      <c r="E31" s="25">
        <f t="shared" si="8"/>
        <v>2.406209478873627</v>
      </c>
      <c r="F31" s="25">
        <f t="shared" si="8"/>
        <v>2.4080563803945236</v>
      </c>
      <c r="G31" s="25">
        <f t="shared" si="8"/>
        <v>2.4085649619538376</v>
      </c>
      <c r="H31" s="25">
        <f t="shared" si="8"/>
        <v>2.4076356846739051</v>
      </c>
      <c r="I31" s="25">
        <f t="shared" si="8"/>
        <v>2.4052341180731291</v>
      </c>
      <c r="J31" s="25">
        <f t="shared" si="8"/>
        <v>2.4012555077994184</v>
      </c>
      <c r="K31" s="26">
        <f t="shared" si="8"/>
        <v>2.3956431095646109</v>
      </c>
      <c r="N31" s="3217"/>
      <c r="O31" s="3218"/>
      <c r="Q31" s="1040">
        <v>13</v>
      </c>
      <c r="R31" s="1197">
        <f>-SUM($B$29:$K$29) - SUM($B$59:$D$59)</f>
        <v>67172</v>
      </c>
      <c r="S31" s="1197">
        <f>SUM($B$30:$K$30) + SUM($B$60:$D$60)+R31</f>
        <v>277335.11607427703</v>
      </c>
    </row>
    <row r="32" spans="1:19" ht="13.35" customHeight="1">
      <c r="A32" s="22" t="str">
        <f>IF('Part III-Sources of Funds'!$E$37 = "Neither", "", "DCR Mortgage B")</f>
        <v>DCR Mortgage B</v>
      </c>
      <c r="B32" s="25">
        <f t="shared" ref="B32:K32" si="9">IF(B24=0,"",-(B22+B23)/B24)</f>
        <v>1.5471984260522489</v>
      </c>
      <c r="C32" s="25">
        <f t="shared" si="9"/>
        <v>1.5533163183122565</v>
      </c>
      <c r="D32" s="25">
        <f t="shared" si="9"/>
        <v>1.5581694943555828</v>
      </c>
      <c r="E32" s="25">
        <f t="shared" si="9"/>
        <v>1.5616553915961335</v>
      </c>
      <c r="F32" s="25">
        <f t="shared" si="9"/>
        <v>1.5637064542302483</v>
      </c>
      <c r="G32" s="25">
        <f t="shared" si="9"/>
        <v>1.5642712556670904</v>
      </c>
      <c r="H32" s="25">
        <f t="shared" si="9"/>
        <v>1.5632392537525133</v>
      </c>
      <c r="I32" s="25">
        <f t="shared" si="9"/>
        <v>1.5605722119733731</v>
      </c>
      <c r="J32" s="25">
        <f t="shared" si="9"/>
        <v>1.5561537961695078</v>
      </c>
      <c r="K32" s="26">
        <f t="shared" si="9"/>
        <v>1.549920989397225</v>
      </c>
      <c r="N32" s="3217"/>
      <c r="O32" s="3218"/>
      <c r="Q32" s="1040">
        <v>14</v>
      </c>
      <c r="R32" s="1197">
        <f>-SUM($B$29:$K$29) - SUM($B$59:$E$59)</f>
        <v>67172</v>
      </c>
      <c r="S32" s="1197">
        <f>SUM($B$30:$K$30) + SUM($B$60:$E$60)+R32</f>
        <v>294954.75841595687</v>
      </c>
    </row>
    <row r="33" spans="1:19" ht="13.3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217"/>
      <c r="O33" s="3218"/>
      <c r="Q33" s="1040">
        <v>15</v>
      </c>
      <c r="R33" s="1197">
        <f>-SUM($B$29:$K$29) - SUM($B$59:$F$59)</f>
        <v>67172</v>
      </c>
      <c r="S33" s="1197">
        <f>SUM($B$30:$K$30) + SUM($B$60:$F$60)+R33</f>
        <v>311479.754443079</v>
      </c>
    </row>
    <row r="34" spans="1:19" ht="13.3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217"/>
      <c r="O34" s="3218"/>
      <c r="Q34" s="63">
        <v>16</v>
      </c>
      <c r="R34" s="1197">
        <f>-SUM($B$29:$K$29) - SUM($B$59:$G$59)</f>
        <v>67172</v>
      </c>
      <c r="S34" s="1197">
        <f>SUM($B$30:$K$30) + SUM($B$60:$G$60)+R34</f>
        <v>326985.33380335546</v>
      </c>
    </row>
    <row r="35" spans="1:19" ht="13.35" customHeight="1">
      <c r="A35" s="435" t="s">
        <v>3738</v>
      </c>
      <c r="B35" s="25">
        <f t="shared" ref="B35:K35" si="12">IF(AND(B23=0,B24=0,B25=0,B26=0),"",-B22/(B23+B24+B25+B26))</f>
        <v>1.2592690864047349</v>
      </c>
      <c r="C35" s="25">
        <f t="shared" si="12"/>
        <v>1.2621678161185943</v>
      </c>
      <c r="D35" s="25">
        <f t="shared" si="12"/>
        <v>1.2644673083302083</v>
      </c>
      <c r="E35" s="25">
        <f t="shared" si="12"/>
        <v>1.2661189676731979</v>
      </c>
      <c r="F35" s="25">
        <f t="shared" si="12"/>
        <v>1.2670907854087536</v>
      </c>
      <c r="G35" s="25">
        <f t="shared" si="12"/>
        <v>1.267358395009875</v>
      </c>
      <c r="H35" s="25">
        <f t="shared" si="12"/>
        <v>1.2668694202964597</v>
      </c>
      <c r="I35" s="25">
        <f t="shared" si="12"/>
        <v>1.2656057443563264</v>
      </c>
      <c r="J35" s="25">
        <f t="shared" si="12"/>
        <v>1.2635122466884163</v>
      </c>
      <c r="K35" s="26">
        <f t="shared" si="12"/>
        <v>1.2605590691194577</v>
      </c>
      <c r="N35" s="3217"/>
      <c r="O35" s="3218"/>
      <c r="Q35" s="63">
        <v>17</v>
      </c>
      <c r="R35" s="1197">
        <f>-SUM($B$29:$K$29) - SUM($B$59:$H$59)</f>
        <v>67172</v>
      </c>
      <c r="S35" s="1197">
        <f>SUM($B$30:$K$30) + SUM($B$60:$H$60)+R35</f>
        <v>341337.41188500245</v>
      </c>
    </row>
    <row r="36" spans="1:19" ht="13.35" customHeight="1">
      <c r="A36" s="22" t="s">
        <v>778</v>
      </c>
      <c r="B36" s="274">
        <f t="shared" ref="B36:K36" si="13">IF(OR(B20="Choose mgt fee",B20="Choose One!"),"",(B14+B15+B16+B17+B18) / -(B19+B20+B21))</f>
        <v>1.5221635427394438</v>
      </c>
      <c r="C36" s="274">
        <f t="shared" si="13"/>
        <v>1.5084964245655419</v>
      </c>
      <c r="D36" s="274">
        <f t="shared" si="13"/>
        <v>1.4949487889420641</v>
      </c>
      <c r="E36" s="274">
        <f t="shared" si="13"/>
        <v>1.4815099412154473</v>
      </c>
      <c r="F36" s="274">
        <f t="shared" si="13"/>
        <v>1.4681802852224386</v>
      </c>
      <c r="G36" s="274">
        <f t="shared" si="13"/>
        <v>1.4549647462614872</v>
      </c>
      <c r="H36" s="274">
        <f t="shared" si="13"/>
        <v>1.441854009706093</v>
      </c>
      <c r="I36" s="274">
        <f t="shared" si="13"/>
        <v>1.4288572635692285</v>
      </c>
      <c r="J36" s="274">
        <f t="shared" si="13"/>
        <v>1.4159656760727495</v>
      </c>
      <c r="K36" s="275">
        <f t="shared" si="13"/>
        <v>1.4031835811100946</v>
      </c>
      <c r="N36" s="3217"/>
      <c r="O36" s="3218"/>
      <c r="Q36" s="63">
        <v>18</v>
      </c>
      <c r="R36" s="1197">
        <f>-SUM($B$29:$K$29) - SUM($B$59:$I$59)</f>
        <v>67172</v>
      </c>
      <c r="S36" s="1197">
        <f>SUM($B$30:$K$30) + SUM($B$60:$I$60)+R36</f>
        <v>354396.03509564686</v>
      </c>
    </row>
    <row r="37" spans="1:19" ht="13.35" customHeight="1">
      <c r="A37" s="435" t="s">
        <v>2634</v>
      </c>
      <c r="B37" s="3230">
        <f>IF('Part III-Sources of Funds'!$I$37="","",-FV('Part III-Sources of Funds'!$K$37/12,12,B23/12,'Part III-Sources of Funds'!$I$37))</f>
        <v>790625.63454726164</v>
      </c>
      <c r="C37" s="3230">
        <f>IF('Part III-Sources of Funds'!$I$37="","",-FV('Part III-Sources of Funds'!$K$37/12,12,C23/12,B37))</f>
        <v>780648.29289782012</v>
      </c>
      <c r="D37" s="3230">
        <f>IF('Part III-Sources of Funds'!$I$37="","",-FV('Part III-Sources of Funds'!$K$37/12,12,D23/12,C37))</f>
        <v>770029.19052853901</v>
      </c>
      <c r="E37" s="3230">
        <f>IF('Part III-Sources of Funds'!$I$37="","",-FV('Part III-Sources of Funds'!$K$37/12,12,E23/12,D37))</f>
        <v>758727.04822537513</v>
      </c>
      <c r="F37" s="3230">
        <f>IF('Part III-Sources of Funds'!$I$37="","",-FV('Part III-Sources of Funds'!$K$37/12,12,F23/12,E37))</f>
        <v>746697.93162033265</v>
      </c>
      <c r="G37" s="3230">
        <f>IF('Part III-Sources of Funds'!$I$37="","",-FV('Part III-Sources of Funds'!$K$37/12,12,G23/12,F37))</f>
        <v>733895.08040714241</v>
      </c>
      <c r="H37" s="3230">
        <f>IF('Part III-Sources of Funds'!$I$37="","",-FV('Part III-Sources of Funds'!$K$37/12,12,H23/12,G37))</f>
        <v>720268.7265717847</v>
      </c>
      <c r="I37" s="3230">
        <f>IF('Part III-Sources of Funds'!$I$37="","",-FV('Part III-Sources of Funds'!$K$37/12,12,I23/12,H37))</f>
        <v>705765.90093126858</v>
      </c>
      <c r="J37" s="3230">
        <f>IF('Part III-Sources of Funds'!$I$37="","",-FV('Part III-Sources of Funds'!$K$37/12,12,J23/12,I37))</f>
        <v>690330.22722863499</v>
      </c>
      <c r="K37" s="3230">
        <f>IF('Part III-Sources of Funds'!$I$37="","",-FV('Part III-Sources of Funds'!$K$37/12,12,K23/12,J37))</f>
        <v>673901.70298377646</v>
      </c>
      <c r="N37" s="3217"/>
      <c r="O37" s="3218"/>
      <c r="Q37" s="1040">
        <v>19</v>
      </c>
      <c r="R37" s="1197">
        <f>-SUM($B$29:$K$29) - SUM($B$59:$J$59)</f>
        <v>67172</v>
      </c>
      <c r="S37" s="1197">
        <f>SUM($B$30:$K$30) + SUM($B$60:$J$60)+R37</f>
        <v>366015.16126406391</v>
      </c>
    </row>
    <row r="38" spans="1:19" ht="13.35" customHeight="1">
      <c r="A38" s="435" t="s">
        <v>2635</v>
      </c>
      <c r="B38" s="3226">
        <f>IF('Part III-Sources of Funds'!$I$38="","",-FV('Part III-Sources of Funds'!$K$38/12,12,B24/12,'Part III-Sources of Funds'!$I$38))</f>
        <v>1170505.4043121678</v>
      </c>
      <c r="C38" s="3226">
        <f>IF('Part III-Sources of Funds'!$I$38="","",-FV('Part III-Sources of Funds'!$K$38/12,12,C24/12,B38))</f>
        <v>1140415.4792142902</v>
      </c>
      <c r="D38" s="3226">
        <f>IF('Part III-Sources of Funds'!$I$38="","",-FV('Part III-Sources of Funds'!$K$38/12,12,D24/12,C38))</f>
        <v>1109718.2083658073</v>
      </c>
      <c r="E38" s="3226">
        <f>IF('Part III-Sources of Funds'!$I$38="","",-FV('Part III-Sources of Funds'!$K$38/12,12,E24/12,D38))</f>
        <v>1078401.3328840672</v>
      </c>
      <c r="F38" s="3226">
        <f>IF('Part III-Sources of Funds'!$I$38="","",-FV('Part III-Sources of Funds'!$K$38/12,12,F24/12,E38))</f>
        <v>1046452.3464487704</v>
      </c>
      <c r="G38" s="3226">
        <f>IF('Part III-Sources of Funds'!$I$38="","",-FV('Part III-Sources of Funds'!$K$38/12,12,G24/12,F38))</f>
        <v>1013858.4903076001</v>
      </c>
      <c r="H38" s="3226">
        <f>IF('Part III-Sources of Funds'!$I$38="","",-FV('Part III-Sources of Funds'!$K$38/12,12,H24/12,G38))</f>
        <v>980606.74818104471</v>
      </c>
      <c r="I38" s="3226">
        <f>IF('Part III-Sources of Funds'!$I$38="","",-FV('Part III-Sources of Funds'!$K$38/12,12,I24/12,H38))</f>
        <v>946683.84106437734</v>
      </c>
      <c r="J38" s="3226">
        <f>IF('Part III-Sources of Funds'!$I$38="","",-FV('Part III-Sources of Funds'!$K$38/12,12,J24/12,I38))</f>
        <v>912076.22192471661</v>
      </c>
      <c r="K38" s="3226">
        <f>IF('Part III-Sources of Funds'!$I$38="","",-FV('Part III-Sources of Funds'!$K$38/12,12,K24/12,J38))</f>
        <v>876770.07029105106</v>
      </c>
      <c r="N38" s="3217"/>
      <c r="O38" s="3218"/>
      <c r="Q38" s="1040">
        <v>20</v>
      </c>
      <c r="R38" s="1197">
        <f>-SUM($B$29:$K$29) - SUM($B$59:$K$59)</f>
        <v>67172</v>
      </c>
      <c r="S38" s="1197">
        <f>SUM($B$30:$K$30) + SUM($B$60:$K$60)+R38</f>
        <v>376041.4325833905</v>
      </c>
    </row>
    <row r="39" spans="1:19" ht="13.35" customHeight="1">
      <c r="A39" s="435" t="s">
        <v>2636</v>
      </c>
      <c r="B39" s="3226" t="str">
        <f>IF('Part III-Sources of Funds'!$I$39="","",-FV('Part III-Sources of Funds'!$K$39/12,12,B25/12,'Part III-Sources of Funds'!$I$39))</f>
        <v/>
      </c>
      <c r="C39" s="3226" t="str">
        <f>IF('Part III-Sources of Funds'!$I$39="","",-FV('Part III-Sources of Funds'!$K$39/12,12,C25/12,B39))</f>
        <v/>
      </c>
      <c r="D39" s="3226" t="str">
        <f>IF('Part III-Sources of Funds'!$I$39="","",-FV('Part III-Sources of Funds'!$K$39/12,12,D25/12,C39))</f>
        <v/>
      </c>
      <c r="E39" s="3226" t="str">
        <f>IF('Part III-Sources of Funds'!$I$39="","",-FV('Part III-Sources of Funds'!$K$39/12,12,E25/12,D39))</f>
        <v/>
      </c>
      <c r="F39" s="3226" t="str">
        <f>IF('Part III-Sources of Funds'!$I$39="","",-FV('Part III-Sources of Funds'!$K$39/12,12,F25/12,E39))</f>
        <v/>
      </c>
      <c r="G39" s="3226" t="str">
        <f>IF('Part III-Sources of Funds'!$I$39="","",-FV('Part III-Sources of Funds'!$K$39/12,12,G25/12,F39))</f>
        <v/>
      </c>
      <c r="H39" s="3226" t="str">
        <f>IF('Part III-Sources of Funds'!$I$39="","",-FV('Part III-Sources of Funds'!$K$39/12,12,H25/12,G39))</f>
        <v/>
      </c>
      <c r="I39" s="3226" t="str">
        <f>IF('Part III-Sources of Funds'!$I$39="","",-FV('Part III-Sources of Funds'!$K$39/12,12,I25/12,H39))</f>
        <v/>
      </c>
      <c r="J39" s="3226" t="str">
        <f>IF('Part III-Sources of Funds'!$I$39="","",-FV('Part III-Sources of Funds'!$K$39/12,12,J25/12,I39))</f>
        <v/>
      </c>
      <c r="K39" s="3226" t="str">
        <f>IF('Part III-Sources of Funds'!$I$39="","",-FV('Part III-Sources of Funds'!$K$39/12,12,K25/12,J39))</f>
        <v/>
      </c>
      <c r="N39" s="3217"/>
      <c r="O39" s="3218"/>
    </row>
    <row r="40" spans="1:19" ht="13.35" customHeight="1">
      <c r="A40" s="22" t="s">
        <v>792</v>
      </c>
      <c r="B40" s="3226" t="str">
        <f>IF('Part III-Sources of Funds'!$I$40="","",-FV('Part III-Sources of Funds'!$K$40/12,12,B26/12,'Part III-Sources of Funds'!$I$40))</f>
        <v/>
      </c>
      <c r="C40" s="3226" t="str">
        <f>IF('Part III-Sources of Funds'!$I$40="","",-FV('Part III-Sources of Funds'!$K$40/12,12,C26/12,B40))</f>
        <v/>
      </c>
      <c r="D40" s="3226" t="str">
        <f>IF('Part III-Sources of Funds'!$I$40="","",-FV('Part III-Sources of Funds'!$K$40/12,12,D26/12,C40))</f>
        <v/>
      </c>
      <c r="E40" s="3226" t="str">
        <f>IF('Part III-Sources of Funds'!$I$40="","",-FV('Part III-Sources of Funds'!$K$40/12,12,E26/12,D40))</f>
        <v/>
      </c>
      <c r="F40" s="3226" t="str">
        <f>IF('Part III-Sources of Funds'!$I$40="","",-FV('Part III-Sources of Funds'!$K$40/12,12,F26/12,E40))</f>
        <v/>
      </c>
      <c r="G40" s="3226" t="str">
        <f>IF('Part III-Sources of Funds'!$I$40="","",-FV('Part III-Sources of Funds'!$K$40/12,12,G26/12,F40))</f>
        <v/>
      </c>
      <c r="H40" s="3226" t="str">
        <f>IF('Part III-Sources of Funds'!$I$40="","",-FV('Part III-Sources of Funds'!$K$40/12,12,H26/12,G40))</f>
        <v/>
      </c>
      <c r="I40" s="3226" t="str">
        <f>IF('Part III-Sources of Funds'!$I$40="","",-FV('Part III-Sources of Funds'!$K$40/12,12,I26/12,H40))</f>
        <v/>
      </c>
      <c r="J40" s="3226" t="str">
        <f>IF('Part III-Sources of Funds'!$I$40="","",-FV('Part III-Sources of Funds'!$K$40/12,12,J26/12,I40))</f>
        <v/>
      </c>
      <c r="K40" s="3226" t="str">
        <f>IF('Part III-Sources of Funds'!$I$40="","",-FV('Part III-Sources of Funds'!$K$40/12,12,K26/12,J40))</f>
        <v/>
      </c>
      <c r="N40" s="3217"/>
      <c r="O40" s="3218"/>
    </row>
    <row r="41" spans="1:19" ht="13.35" customHeight="1">
      <c r="A41" s="435" t="s">
        <v>4129</v>
      </c>
      <c r="B41" s="3229">
        <f>IF('Part III-Sources of Funds'!$I$42="","",-FV('Part III-Sources of Funds'!$K$42/12,12,B29/12,'Part III-Sources of Funds'!$I$42))</f>
        <v>45147</v>
      </c>
      <c r="C41" s="3229">
        <f>IF('Part III-Sources of Funds'!$I$42="","",IF(-FV('Part III-Sources of Funds'!$K$42/12,12,C29/12,B41)&gt;0,-FV('Part III-Sources of Funds'!$K$42/12,12,C29/12,B41),0))</f>
        <v>22935</v>
      </c>
      <c r="D41" s="3229">
        <f>IF('Part III-Sources of Funds'!$I$42="","",IF(-FV('Part III-Sources of Funds'!$K$42/12,12,D29/12,C41)&gt;0,-FV('Part III-Sources of Funds'!$K$42/12,12,D29/12,C41),0))</f>
        <v>606</v>
      </c>
      <c r="E41" s="3229">
        <f>IF('Part III-Sources of Funds'!$I$42="","",IF(-FV('Part III-Sources of Funds'!$K$42/12,12,E29/12,D41)&gt;0,-FV('Part III-Sources of Funds'!$K$42/12,12,E29/12,D41),0))</f>
        <v>0</v>
      </c>
      <c r="F41" s="3229">
        <f>IF('Part III-Sources of Funds'!$I$42="","",IF(-FV('Part III-Sources of Funds'!$K$42/12,12,F29/12,E41)&gt;0,-FV('Part III-Sources of Funds'!$K$42/12,12,F29/12,E41),0))</f>
        <v>0</v>
      </c>
      <c r="G41" s="3229">
        <f>IF('Part III-Sources of Funds'!$I$42="","",IF(-FV('Part III-Sources of Funds'!$K$42/12,12,G29/12,F41)&gt;0,-FV('Part III-Sources of Funds'!$K$42/12,12,G29/12,F41),0))</f>
        <v>0</v>
      </c>
      <c r="H41" s="3229">
        <f>IF('Part III-Sources of Funds'!$I$42="","",IF(-FV('Part III-Sources of Funds'!$K$42/12,12,H29/12,G41)&gt;0,-FV('Part III-Sources of Funds'!$K$42/12,12,H29/12,G41),0))</f>
        <v>0</v>
      </c>
      <c r="I41" s="3229">
        <f>IF('Part III-Sources of Funds'!$I$42="","",IF(-FV('Part III-Sources of Funds'!$K$42/12,12,I29/12,H41)&gt;0,-FV('Part III-Sources of Funds'!$K$42/12,12,I29/12,H41),0))</f>
        <v>0</v>
      </c>
      <c r="J41" s="3229">
        <f>IF('Part III-Sources of Funds'!$I$42="","",IF(-FV('Part III-Sources of Funds'!$K$42/12,12,J29/12,I41)&gt;0,-FV('Part III-Sources of Funds'!$K$42/12,12,J29/12,I41),0))</f>
        <v>0</v>
      </c>
      <c r="K41" s="3229">
        <f>IF('Part III-Sources of Funds'!$I$42="","",IF(-FV('Part III-Sources of Funds'!$K$42/12,12,K29/12,J41)&gt;0,-FV('Part III-Sources of Funds'!$K$42/12,12,K29/12,J41),0))</f>
        <v>0</v>
      </c>
      <c r="N41" s="3223"/>
      <c r="O41" s="3224"/>
    </row>
    <row r="42" spans="1:19" ht="4.3499999999999996" customHeight="1">
      <c r="B42" s="18"/>
      <c r="C42" s="18"/>
      <c r="D42" s="18"/>
      <c r="E42" s="18"/>
      <c r="F42" s="18"/>
      <c r="G42" s="18"/>
      <c r="H42" s="18"/>
      <c r="I42" s="18"/>
      <c r="J42" s="18"/>
      <c r="K42" s="18"/>
    </row>
    <row r="43" spans="1:19" ht="14.45" customHeight="1">
      <c r="A43" s="14" t="s">
        <v>2496</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1724" t="s">
        <v>2639</v>
      </c>
      <c r="O43" s="1724"/>
    </row>
    <row r="44" spans="1:19" ht="13.35" customHeight="1">
      <c r="A44" s="19" t="s">
        <v>2420</v>
      </c>
      <c r="B44" s="20">
        <f t="shared" ref="B44:K44" si="15">$B$14*(1+$B$5)^(B43-1)</f>
        <v>529911.50230476086</v>
      </c>
      <c r="C44" s="20">
        <f t="shared" si="15"/>
        <v>540509.73235085595</v>
      </c>
      <c r="D44" s="20">
        <f t="shared" si="15"/>
        <v>551319.92699787323</v>
      </c>
      <c r="E44" s="20">
        <f t="shared" si="15"/>
        <v>562346.32553783059</v>
      </c>
      <c r="F44" s="20">
        <f t="shared" si="15"/>
        <v>573593.25204858731</v>
      </c>
      <c r="G44" s="20">
        <f t="shared" si="15"/>
        <v>585065.11708955886</v>
      </c>
      <c r="H44" s="20">
        <f t="shared" si="15"/>
        <v>596766.41943135019</v>
      </c>
      <c r="I44" s="20">
        <f t="shared" si="15"/>
        <v>608701.74781997723</v>
      </c>
      <c r="J44" s="20">
        <f t="shared" si="15"/>
        <v>620875.7827763767</v>
      </c>
      <c r="K44" s="21">
        <f t="shared" si="15"/>
        <v>633293.29843190417</v>
      </c>
      <c r="N44" s="3215"/>
      <c r="O44" s="3216"/>
    </row>
    <row r="45" spans="1:19" ht="13.35" customHeight="1">
      <c r="A45" s="22" t="s">
        <v>1026</v>
      </c>
      <c r="B45" s="23">
        <f t="shared" ref="B45:K45" si="16">$B$15*(1+$B$5)^(B43-1)</f>
        <v>10598.230046095217</v>
      </c>
      <c r="C45" s="23">
        <f t="shared" si="16"/>
        <v>10810.194647017119</v>
      </c>
      <c r="D45" s="23">
        <f t="shared" si="16"/>
        <v>11026.398539957463</v>
      </c>
      <c r="E45" s="23">
        <f t="shared" si="16"/>
        <v>11246.926510756612</v>
      </c>
      <c r="F45" s="23">
        <f t="shared" si="16"/>
        <v>11471.865040971745</v>
      </c>
      <c r="G45" s="23">
        <f t="shared" si="16"/>
        <v>11701.302341791177</v>
      </c>
      <c r="H45" s="23">
        <f t="shared" si="16"/>
        <v>11935.328388627002</v>
      </c>
      <c r="I45" s="23">
        <f t="shared" si="16"/>
        <v>12174.034956399544</v>
      </c>
      <c r="J45" s="23">
        <f t="shared" si="16"/>
        <v>12417.515655527533</v>
      </c>
      <c r="K45" s="24">
        <f t="shared" si="16"/>
        <v>12665.865968638083</v>
      </c>
      <c r="N45" s="3217"/>
      <c r="O45" s="3218"/>
    </row>
    <row r="46" spans="1:19" ht="13.35" customHeight="1">
      <c r="A46" s="22" t="s">
        <v>2421</v>
      </c>
      <c r="B46" s="23">
        <f t="shared" ref="B46:K46" si="17">-(B44+B45)*$B$8</f>
        <v>-37835.681264559928</v>
      </c>
      <c r="C46" s="23">
        <f t="shared" si="17"/>
        <v>-38592.394889851123</v>
      </c>
      <c r="D46" s="23">
        <f t="shared" si="17"/>
        <v>-39364.242787648152</v>
      </c>
      <c r="E46" s="23">
        <f t="shared" si="17"/>
        <v>-40151.52764340111</v>
      </c>
      <c r="F46" s="23">
        <f t="shared" si="17"/>
        <v>-40954.558196269143</v>
      </c>
      <c r="G46" s="23">
        <f t="shared" si="17"/>
        <v>-41773.649360194511</v>
      </c>
      <c r="H46" s="23">
        <f t="shared" si="17"/>
        <v>-42609.122347398414</v>
      </c>
      <c r="I46" s="23">
        <f t="shared" si="17"/>
        <v>-43461.304794346383</v>
      </c>
      <c r="J46" s="23">
        <f t="shared" si="17"/>
        <v>-44330.530890233305</v>
      </c>
      <c r="K46" s="24">
        <f t="shared" si="17"/>
        <v>-45217.141508037967</v>
      </c>
      <c r="N46" s="3217"/>
      <c r="O46" s="3218"/>
    </row>
    <row r="47" spans="1:19" ht="13.3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7"/>
      <c r="O47" s="3218"/>
    </row>
    <row r="48" spans="1:19" ht="13.3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7"/>
      <c r="O48" s="3218"/>
    </row>
    <row r="49" spans="1:18" ht="13.35" customHeight="1">
      <c r="A49" s="22" t="s">
        <v>620</v>
      </c>
      <c r="B49" s="23">
        <f t="shared" ref="B49:K49" si="18">$B$19*(1+$B$6)^(B43-1)</f>
        <v>-320243.17795029015</v>
      </c>
      <c r="C49" s="23">
        <f t="shared" si="18"/>
        <v>-329850.47328879882</v>
      </c>
      <c r="D49" s="23">
        <f t="shared" si="18"/>
        <v>-339745.98748746276</v>
      </c>
      <c r="E49" s="23">
        <f t="shared" si="18"/>
        <v>-349938.36711208662</v>
      </c>
      <c r="F49" s="23">
        <f t="shared" si="18"/>
        <v>-360436.51812544925</v>
      </c>
      <c r="G49" s="23">
        <f t="shared" si="18"/>
        <v>-371249.61366921273</v>
      </c>
      <c r="H49" s="23">
        <f t="shared" si="18"/>
        <v>-382387.10207928909</v>
      </c>
      <c r="I49" s="23">
        <f t="shared" si="18"/>
        <v>-393858.71514166775</v>
      </c>
      <c r="J49" s="23">
        <f t="shared" si="18"/>
        <v>-405674.47659591777</v>
      </c>
      <c r="K49" s="24">
        <f t="shared" si="18"/>
        <v>-417844.7108937953</v>
      </c>
      <c r="N49" s="3217"/>
      <c r="O49" s="3218"/>
    </row>
    <row r="50" spans="1:18" ht="13.35" customHeight="1">
      <c r="A50" s="22" t="s">
        <v>1125</v>
      </c>
      <c r="B50" s="23">
        <f>IF(AND('Part VII-Pro Forma'!$G$8="Yes",'Part VII-Pro Forma'!$G$9="Yes"),"Choose One!",IF('Part VII-Pro Forma'!$G$8="Yes",ROUND((-$K$8*(1+'Part VII-Pro Forma'!$B$6)^('Part VII-Pro Forma'!B43-1)),),IF('Part VII-Pro Forma'!$G$9="Yes",ROUND((-(SUM(B44:B47)*'Part VII-Pro Forma'!$K$9)),),"Choose mgt fee")))</f>
        <v>-25134</v>
      </c>
      <c r="C50" s="23">
        <f>IF(AND('Part VII-Pro Forma'!$G$8="Yes",'Part VII-Pro Forma'!$G$9="Yes"),"Choose One!",IF('Part VII-Pro Forma'!$G$8="Yes",ROUND((-$K$8*(1+'Part VII-Pro Forma'!$B$6)^('Part VII-Pro Forma'!C43-1)),),IF('Part VII-Pro Forma'!$G$9="Yes",ROUND((-(SUM(C44:C47)*'Part VII-Pro Forma'!$K$9)),),"Choose mgt fee")))</f>
        <v>-25636</v>
      </c>
      <c r="D50" s="23">
        <f>IF(AND('Part VII-Pro Forma'!$G$8="Yes",'Part VII-Pro Forma'!$G$9="Yes"),"Choose One!",IF('Part VII-Pro Forma'!$G$8="Yes",ROUND((-$K$8*(1+'Part VII-Pro Forma'!$B$6)^('Part VII-Pro Forma'!D43-1)),),IF('Part VII-Pro Forma'!$G$9="Yes",ROUND((-(SUM(D44:D47)*'Part VII-Pro Forma'!$K$9)),),"Choose mgt fee")))</f>
        <v>-26149</v>
      </c>
      <c r="E50" s="23">
        <f>IF(AND('Part VII-Pro Forma'!$G$8="Yes",'Part VII-Pro Forma'!$G$9="Yes"),"Choose One!",IF('Part VII-Pro Forma'!$G$8="Yes",ROUND((-$K$8*(1+'Part VII-Pro Forma'!$B$6)^('Part VII-Pro Forma'!E43-1)),),IF('Part VII-Pro Forma'!$G$9="Yes",ROUND((-(SUM(E44:E47)*'Part VII-Pro Forma'!$K$9)),),"Choose mgt fee")))</f>
        <v>-26672</v>
      </c>
      <c r="F50" s="23">
        <f>IF(AND('Part VII-Pro Forma'!$G$8="Yes",'Part VII-Pro Forma'!$G$9="Yes"),"Choose One!",IF('Part VII-Pro Forma'!$G$8="Yes",ROUND((-$K$8*(1+'Part VII-Pro Forma'!$B$6)^('Part VII-Pro Forma'!F43-1)),),IF('Part VII-Pro Forma'!$G$9="Yes",ROUND((-(SUM(F44:F47)*'Part VII-Pro Forma'!$K$9)),),"Choose mgt fee")))</f>
        <v>-27206</v>
      </c>
      <c r="G50" s="23">
        <f>IF(AND('Part VII-Pro Forma'!$G$8="Yes",'Part VII-Pro Forma'!$G$9="Yes"),"Choose One!",IF('Part VII-Pro Forma'!$G$8="Yes",ROUND((-$K$8*(1+'Part VII-Pro Forma'!$B$6)^('Part VII-Pro Forma'!G43-1)),),IF('Part VII-Pro Forma'!$G$9="Yes",ROUND((-(SUM(G44:G47)*'Part VII-Pro Forma'!$K$9)),),"Choose mgt fee")))</f>
        <v>-27750</v>
      </c>
      <c r="H50" s="23">
        <f>IF(AND('Part VII-Pro Forma'!$G$8="Yes",'Part VII-Pro Forma'!$G$9="Yes"),"Choose One!",IF('Part VII-Pro Forma'!$G$8="Yes",ROUND((-$K$8*(1+'Part VII-Pro Forma'!$B$6)^('Part VII-Pro Forma'!H43-1)),),IF('Part VII-Pro Forma'!$G$9="Yes",ROUND((-(SUM(H44:H47)*'Part VII-Pro Forma'!$K$9)),),"Choose mgt fee")))</f>
        <v>-28305</v>
      </c>
      <c r="I50" s="23">
        <f>IF(AND('Part VII-Pro Forma'!$G$8="Yes",'Part VII-Pro Forma'!$G$9="Yes"),"Choose One!",IF('Part VII-Pro Forma'!$G$8="Yes",ROUND((-$K$8*(1+'Part VII-Pro Forma'!$B$6)^('Part VII-Pro Forma'!I43-1)),),IF('Part VII-Pro Forma'!$G$9="Yes",ROUND((-(SUM(I44:I47)*'Part VII-Pro Forma'!$K$9)),),"Choose mgt fee")))</f>
        <v>-28871</v>
      </c>
      <c r="J50" s="23">
        <f>IF(AND('Part VII-Pro Forma'!$G$8="Yes",'Part VII-Pro Forma'!$G$9="Yes"),"Choose One!",IF('Part VII-Pro Forma'!$G$8="Yes",ROUND((-$K$8*(1+'Part VII-Pro Forma'!$B$6)^('Part VII-Pro Forma'!J43-1)),),IF('Part VII-Pro Forma'!$G$9="Yes",ROUND((-(SUM(J44:J47)*'Part VII-Pro Forma'!$K$9)),),"Choose mgt fee")))</f>
        <v>-29448</v>
      </c>
      <c r="K50" s="23">
        <f>IF(AND('Part VII-Pro Forma'!$G$8="Yes",'Part VII-Pro Forma'!$G$9="Yes"),"Choose One!",IF('Part VII-Pro Forma'!$G$8="Yes",ROUND((-$K$8*(1+'Part VII-Pro Forma'!$B$6)^('Part VII-Pro Forma'!K43-1)),),IF('Part VII-Pro Forma'!$G$9="Yes",ROUND((-(SUM(K44:K47)*'Part VII-Pro Forma'!$K$9)),),"Choose mgt fee")))</f>
        <v>-30037</v>
      </c>
      <c r="N50" s="3217"/>
      <c r="O50" s="3218"/>
    </row>
    <row r="51" spans="1:18" ht="13.35" customHeight="1">
      <c r="A51" s="22" t="s">
        <v>1214</v>
      </c>
      <c r="B51" s="23">
        <f t="shared" ref="B51:K51" si="19">$B$21*(1+$B$7)^(B43-1)</f>
        <v>-16126.996552129462</v>
      </c>
      <c r="C51" s="23">
        <f t="shared" si="19"/>
        <v>-16610.806448693347</v>
      </c>
      <c r="D51" s="23">
        <f t="shared" si="19"/>
        <v>-17109.130642154145</v>
      </c>
      <c r="E51" s="23">
        <f t="shared" si="19"/>
        <v>-17622.404561418767</v>
      </c>
      <c r="F51" s="23">
        <f t="shared" si="19"/>
        <v>-18151.076698261331</v>
      </c>
      <c r="G51" s="23">
        <f t="shared" si="19"/>
        <v>-18695.608999209173</v>
      </c>
      <c r="H51" s="23">
        <f t="shared" si="19"/>
        <v>-19256.477269185445</v>
      </c>
      <c r="I51" s="23">
        <f t="shared" si="19"/>
        <v>-19834.171587261008</v>
      </c>
      <c r="J51" s="23">
        <f t="shared" si="19"/>
        <v>-20429.196734878838</v>
      </c>
      <c r="K51" s="24">
        <f t="shared" si="19"/>
        <v>-21042.072636925204</v>
      </c>
      <c r="N51" s="3217"/>
      <c r="O51" s="3218"/>
    </row>
    <row r="52" spans="1:18" ht="13.35" customHeight="1">
      <c r="A52" s="22" t="s">
        <v>1215</v>
      </c>
      <c r="B52" s="23">
        <f t="shared" ref="B52:K52" si="20">SUM(B44:B51)</f>
        <v>141169.87658387655</v>
      </c>
      <c r="C52" s="23">
        <f t="shared" si="20"/>
        <v>140630.25237052984</v>
      </c>
      <c r="D52" s="23">
        <f t="shared" si="20"/>
        <v>139977.96462056565</v>
      </c>
      <c r="E52" s="23">
        <f t="shared" si="20"/>
        <v>139208.95273168074</v>
      </c>
      <c r="F52" s="23">
        <f t="shared" si="20"/>
        <v>138316.96406957941</v>
      </c>
      <c r="G52" s="23">
        <f t="shared" si="20"/>
        <v>137297.5474027337</v>
      </c>
      <c r="H52" s="23">
        <f t="shared" si="20"/>
        <v>136144.04612410426</v>
      </c>
      <c r="I52" s="23">
        <f t="shared" si="20"/>
        <v>134850.59125310171</v>
      </c>
      <c r="J52" s="23">
        <f t="shared" si="20"/>
        <v>133411.09421087432</v>
      </c>
      <c r="K52" s="24">
        <f t="shared" si="20"/>
        <v>131818.23936178384</v>
      </c>
      <c r="N52" s="3217"/>
      <c r="O52" s="3218"/>
    </row>
    <row r="53" spans="1:18" ht="13.35" customHeight="1">
      <c r="A53" s="22" t="str">
        <f>$A23</f>
        <v>Mortgage A</v>
      </c>
      <c r="B53" s="3225">
        <f>IF('Part III-Sources of Funds'!$N$37="", 0,-'Part III-Sources of Funds'!$N$37)</f>
        <v>-59108.851240933596</v>
      </c>
      <c r="C53" s="3225">
        <f>IF('Part III-Sources of Funds'!$N$37="", 0,-'Part III-Sources of Funds'!$N$37)</f>
        <v>-59108.851240933596</v>
      </c>
      <c r="D53" s="3225">
        <f>IF('Part III-Sources of Funds'!$N$37="", 0,-'Part III-Sources of Funds'!$N$37)</f>
        <v>-59108.851240933596</v>
      </c>
      <c r="E53" s="3225">
        <f>IF('Part III-Sources of Funds'!$N$37="", 0,-'Part III-Sources of Funds'!$N$37)</f>
        <v>-59108.851240933596</v>
      </c>
      <c r="F53" s="3225">
        <f>IF('Part III-Sources of Funds'!$N$37="", 0,-'Part III-Sources of Funds'!$N$37)</f>
        <v>-59108.851240933596</v>
      </c>
      <c r="G53" s="3225">
        <f>IF('Part III-Sources of Funds'!$N$37="", 0,-'Part III-Sources of Funds'!$N$37)</f>
        <v>-59108.851240933596</v>
      </c>
      <c r="H53" s="3225">
        <f>IF('Part III-Sources of Funds'!$N$37="", 0,-'Part III-Sources of Funds'!$N$37)</f>
        <v>-59108.851240933596</v>
      </c>
      <c r="I53" s="3225">
        <f>IF('Part III-Sources of Funds'!$N$37="", 0,-'Part III-Sources of Funds'!$N$37)</f>
        <v>-59108.851240933596</v>
      </c>
      <c r="J53" s="3225">
        <f>IF('Part III-Sources of Funds'!$N$37="", 0,-'Part III-Sources of Funds'!$N$37)</f>
        <v>-59108.851240933596</v>
      </c>
      <c r="K53" s="3225">
        <f>IF('Part III-Sources of Funds'!$N$37="", 0,-'Part III-Sources of Funds'!$N$37)</f>
        <v>-59108.851240933596</v>
      </c>
      <c r="N53" s="3217"/>
      <c r="O53" s="3218"/>
    </row>
    <row r="54" spans="1:18" ht="13.35" customHeight="1">
      <c r="A54" s="22" t="str">
        <f>$A24</f>
        <v>Mortgage B</v>
      </c>
      <c r="B54" s="3226">
        <f>IF('Part III-Sources of Funds'!$N$38="", 0,-'Part III-Sources of Funds'!$N$38)</f>
        <v>-53225.204067190156</v>
      </c>
      <c r="C54" s="3226">
        <f>IF('Part III-Sources of Funds'!$N$38="", 0,-'Part III-Sources of Funds'!$N$38)</f>
        <v>-53225.204067190156</v>
      </c>
      <c r="D54" s="3226">
        <f>IF('Part III-Sources of Funds'!$N$38="", 0,-'Part III-Sources of Funds'!$N$38)</f>
        <v>-53225.204067190156</v>
      </c>
      <c r="E54" s="3226">
        <f>IF('Part III-Sources of Funds'!$N$38="", 0,-'Part III-Sources of Funds'!$N$38)</f>
        <v>-53225.204067190156</v>
      </c>
      <c r="F54" s="3226">
        <f>IF('Part III-Sources of Funds'!$N$38="", 0,-'Part III-Sources of Funds'!$N$38)</f>
        <v>-53225.204067190156</v>
      </c>
      <c r="G54" s="3226">
        <f>IF('Part III-Sources of Funds'!$N$38="", 0,-'Part III-Sources of Funds'!$N$38)</f>
        <v>-53225.204067190156</v>
      </c>
      <c r="H54" s="3226">
        <f>IF('Part III-Sources of Funds'!$N$38="", 0,-'Part III-Sources of Funds'!$N$38)</f>
        <v>-53225.204067190156</v>
      </c>
      <c r="I54" s="3226">
        <f>IF('Part III-Sources of Funds'!$N$38="", 0,-'Part III-Sources of Funds'!$N$38)</f>
        <v>-53225.204067190156</v>
      </c>
      <c r="J54" s="3226">
        <f>IF('Part III-Sources of Funds'!$N$38="", 0,-'Part III-Sources of Funds'!$N$38)</f>
        <v>-53225.204067190156</v>
      </c>
      <c r="K54" s="3226">
        <f>IF('Part III-Sources of Funds'!$N$38="", 0,-'Part III-Sources of Funds'!$N$38)</f>
        <v>-53225.204067190156</v>
      </c>
      <c r="N54" s="3217"/>
      <c r="O54" s="3218"/>
    </row>
    <row r="55" spans="1:18" ht="13.35" customHeight="1">
      <c r="A55" s="22" t="str">
        <f>$A25</f>
        <v>Mortgage C</v>
      </c>
      <c r="B55" s="3226">
        <f>IF('Part III-Sources of Funds'!$N$39="", 0,-'Part III-Sources of Funds'!$N$39)</f>
        <v>0</v>
      </c>
      <c r="C55" s="3226">
        <f>IF('Part III-Sources of Funds'!$N$39="", 0,-'Part III-Sources of Funds'!$N$39)</f>
        <v>0</v>
      </c>
      <c r="D55" s="3226">
        <f>IF('Part III-Sources of Funds'!$N$39="", 0,-'Part III-Sources of Funds'!$N$39)</f>
        <v>0</v>
      </c>
      <c r="E55" s="3226">
        <f>IF('Part III-Sources of Funds'!$N$39="", 0,-'Part III-Sources of Funds'!$N$39)</f>
        <v>0</v>
      </c>
      <c r="F55" s="3226">
        <f>IF('Part III-Sources of Funds'!$N$39="", 0,-'Part III-Sources of Funds'!$N$39)</f>
        <v>0</v>
      </c>
      <c r="G55" s="3226">
        <f>IF('Part III-Sources of Funds'!$N$39="", 0,-'Part III-Sources of Funds'!$N$39)</f>
        <v>0</v>
      </c>
      <c r="H55" s="3226">
        <f>IF('Part III-Sources of Funds'!$N$39="", 0,-'Part III-Sources of Funds'!$N$39)</f>
        <v>0</v>
      </c>
      <c r="I55" s="3226">
        <f>IF('Part III-Sources of Funds'!$N$39="", 0,-'Part III-Sources of Funds'!$N$39)</f>
        <v>0</v>
      </c>
      <c r="J55" s="3226">
        <f>IF('Part III-Sources of Funds'!$N$39="", 0,-'Part III-Sources of Funds'!$N$39)</f>
        <v>0</v>
      </c>
      <c r="K55" s="3226">
        <f>IF('Part III-Sources of Funds'!$N$39="", 0,-'Part III-Sources of Funds'!$N$39)</f>
        <v>0</v>
      </c>
      <c r="N55" s="3217"/>
      <c r="O55" s="3218"/>
    </row>
    <row r="56" spans="1:18" ht="13.35" customHeight="1">
      <c r="A56" s="22" t="str">
        <f>$A26</f>
        <v>D/S Other Source,not DDF</v>
      </c>
      <c r="B56" s="3226">
        <f>IF('Part III-Sources of Funds'!$N$40="", 0,-'Part III-Sources of Funds'!$N$40)</f>
        <v>0</v>
      </c>
      <c r="C56" s="3226">
        <f>IF('Part III-Sources of Funds'!$N$40="", 0,-'Part III-Sources of Funds'!$N$40)</f>
        <v>0</v>
      </c>
      <c r="D56" s="3226">
        <f>IF('Part III-Sources of Funds'!$N$40="", 0,-'Part III-Sources of Funds'!$N$40)</f>
        <v>0</v>
      </c>
      <c r="E56" s="3226">
        <f>IF('Part III-Sources of Funds'!$N$40="", 0,-'Part III-Sources of Funds'!$N$40)</f>
        <v>0</v>
      </c>
      <c r="F56" s="3226">
        <f>IF('Part III-Sources of Funds'!$N$40="", 0,-'Part III-Sources of Funds'!$N$40)</f>
        <v>0</v>
      </c>
      <c r="G56" s="3226">
        <f>IF('Part III-Sources of Funds'!$N$40="", 0,-'Part III-Sources of Funds'!$N$40)</f>
        <v>0</v>
      </c>
      <c r="H56" s="3226">
        <f>IF('Part III-Sources of Funds'!$N$40="", 0,-'Part III-Sources of Funds'!$N$40)</f>
        <v>0</v>
      </c>
      <c r="I56" s="3226">
        <f>IF('Part III-Sources of Funds'!$N$40="", 0,-'Part III-Sources of Funds'!$N$40)</f>
        <v>0</v>
      </c>
      <c r="J56" s="3226">
        <f>IF('Part III-Sources of Funds'!$N$40="", 0,-'Part III-Sources of Funds'!$N$40)</f>
        <v>0</v>
      </c>
      <c r="K56" s="3226">
        <f>IF('Part III-Sources of Funds'!$N$40="", 0,-'Part III-Sources of Funds'!$N$40)</f>
        <v>0</v>
      </c>
      <c r="N56" s="3217"/>
      <c r="O56" s="3218"/>
    </row>
    <row r="57" spans="1:18" ht="13.35" customHeight="1">
      <c r="A57" s="22" t="s">
        <v>771</v>
      </c>
      <c r="B57" s="3227"/>
      <c r="C57" s="3227"/>
      <c r="D57" s="3227"/>
      <c r="E57" s="3227"/>
      <c r="F57" s="3227"/>
      <c r="G57" s="3227"/>
      <c r="H57" s="3227"/>
      <c r="I57" s="3227"/>
      <c r="J57" s="3227"/>
      <c r="K57" s="3227"/>
      <c r="N57" s="3217"/>
      <c r="O57" s="3218"/>
    </row>
    <row r="58" spans="1:18" ht="13.35" customHeight="1">
      <c r="A58" s="435" t="s">
        <v>1174</v>
      </c>
      <c r="B58" s="3228">
        <f>-(4600*1.03^10)-2500</f>
        <v>-8682.0153449829595</v>
      </c>
      <c r="C58" s="3228">
        <f>-(4600*1.03^11)-2500</f>
        <v>-8867.4758053324495</v>
      </c>
      <c r="D58" s="3228">
        <f>-(4600*1.03^12)-2500</f>
        <v>-9058.5000794924217</v>
      </c>
      <c r="E58" s="3228">
        <f>-(4600*1.03^13)-2500</f>
        <v>-9255.2550818771942</v>
      </c>
      <c r="F58" s="3228">
        <f>-(4600*1.03^14)-2500</f>
        <v>-9457.9127343335094</v>
      </c>
      <c r="G58" s="3226">
        <f t="shared" ref="G58:K58" si="21">+F58</f>
        <v>-9457.9127343335094</v>
      </c>
      <c r="H58" s="3226">
        <f t="shared" si="21"/>
        <v>-9457.9127343335094</v>
      </c>
      <c r="I58" s="3226">
        <f t="shared" si="21"/>
        <v>-9457.9127343335094</v>
      </c>
      <c r="J58" s="3226">
        <f t="shared" si="21"/>
        <v>-9457.9127343335094</v>
      </c>
      <c r="K58" s="3226">
        <f t="shared" si="21"/>
        <v>-9457.9127343335094</v>
      </c>
      <c r="N58" s="3217"/>
      <c r="O58" s="3218"/>
      <c r="Q58" s="1040"/>
      <c r="R58" s="1197"/>
    </row>
    <row r="59" spans="1:18" ht="13.35" customHeight="1">
      <c r="A59" s="435" t="s">
        <v>4128</v>
      </c>
      <c r="B59" s="3229">
        <f>IF('Part III-Sources of Funds'!$N$42="", 0,-'Part III-Sources of Funds'!$N$42)</f>
        <v>0</v>
      </c>
      <c r="C59" s="3229">
        <f>IF('Part III-Sources of Funds'!$N$42="", 0,-'Part III-Sources of Funds'!$N$42)</f>
        <v>0</v>
      </c>
      <c r="D59" s="3229">
        <f>IF('Part III-Sources of Funds'!$N$42="", 0,-'Part III-Sources of Funds'!$N$42)</f>
        <v>0</v>
      </c>
      <c r="E59" s="3229">
        <f>IF('Part III-Sources of Funds'!$N$42="", 0,-'Part III-Sources of Funds'!$N$42)</f>
        <v>0</v>
      </c>
      <c r="F59" s="3229">
        <f>IF('Part III-Sources of Funds'!$N$42="", 0,-'Part III-Sources of Funds'!$N$42)</f>
        <v>0</v>
      </c>
      <c r="G59" s="3229"/>
      <c r="H59" s="3229"/>
      <c r="I59" s="3229"/>
      <c r="J59" s="3229"/>
      <c r="K59" s="3229"/>
      <c r="N59" s="3217"/>
      <c r="O59" s="3218"/>
    </row>
    <row r="60" spans="1:18" ht="13.35" customHeight="1">
      <c r="A60" s="22" t="s">
        <v>1175</v>
      </c>
      <c r="B60" s="23">
        <f>SUM(B52:B59)</f>
        <v>20153.805930769842</v>
      </c>
      <c r="C60" s="23">
        <f t="shared" ref="C60:K60" si="22">SUM(C52:C59)</f>
        <v>19428.721257073637</v>
      </c>
      <c r="D60" s="23">
        <f t="shared" si="22"/>
        <v>18585.409232949474</v>
      </c>
      <c r="E60" s="23">
        <f t="shared" si="22"/>
        <v>17619.642341679792</v>
      </c>
      <c r="F60" s="23">
        <f t="shared" si="22"/>
        <v>16524.996027122146</v>
      </c>
      <c r="G60" s="23">
        <f t="shared" si="22"/>
        <v>15505.579360276442</v>
      </c>
      <c r="H60" s="23">
        <f t="shared" si="22"/>
        <v>14352.078081647003</v>
      </c>
      <c r="I60" s="23">
        <f t="shared" si="22"/>
        <v>13058.623210644448</v>
      </c>
      <c r="J60" s="23">
        <f t="shared" si="22"/>
        <v>11619.126168417057</v>
      </c>
      <c r="K60" s="23">
        <f t="shared" si="22"/>
        <v>10026.271319326577</v>
      </c>
      <c r="N60" s="3217"/>
      <c r="O60" s="3218"/>
    </row>
    <row r="61" spans="1:18" ht="13.35" customHeight="1">
      <c r="A61" s="22" t="str">
        <f>$A31</f>
        <v>DCR Mortgage A</v>
      </c>
      <c r="B61" s="25">
        <f t="shared" ref="B61:K61" si="23">IF(B53=0,"",-B52/B53)</f>
        <v>2.3883035048076642</v>
      </c>
      <c r="C61" s="25">
        <f t="shared" si="23"/>
        <v>2.3791741747324244</v>
      </c>
      <c r="D61" s="25">
        <f t="shared" si="23"/>
        <v>2.368138809702145</v>
      </c>
      <c r="E61" s="25">
        <f t="shared" si="23"/>
        <v>2.3551287126906106</v>
      </c>
      <c r="F61" s="25">
        <f t="shared" si="23"/>
        <v>2.3400381020058334</v>
      </c>
      <c r="G61" s="25">
        <f t="shared" si="23"/>
        <v>2.3227916719798047</v>
      </c>
      <c r="H61" s="25">
        <f t="shared" si="23"/>
        <v>2.3032768065338893</v>
      </c>
      <c r="I61" s="25">
        <f t="shared" si="23"/>
        <v>2.2813942146064927</v>
      </c>
      <c r="J61" s="25">
        <f t="shared" si="23"/>
        <v>2.2570408899857881</v>
      </c>
      <c r="K61" s="26">
        <f t="shared" si="23"/>
        <v>2.2300930671868331</v>
      </c>
      <c r="N61" s="3217"/>
      <c r="O61" s="3218"/>
    </row>
    <row r="62" spans="1:18" ht="13.35" customHeight="1">
      <c r="A62" s="22" t="str">
        <f>$A32</f>
        <v>DCR Mortgage B</v>
      </c>
      <c r="B62" s="25">
        <f t="shared" ref="B62:K62" si="24">IF(B54=0,"",-(B52+B53)/B54)</f>
        <v>1.5417700463741049</v>
      </c>
      <c r="C62" s="25">
        <f t="shared" si="24"/>
        <v>1.5316315373199072</v>
      </c>
      <c r="D62" s="25">
        <f t="shared" si="24"/>
        <v>1.5193762954397492</v>
      </c>
      <c r="E62" s="25">
        <f t="shared" si="24"/>
        <v>1.5049280297663263</v>
      </c>
      <c r="F62" s="25">
        <f t="shared" si="24"/>
        <v>1.4881692652348593</v>
      </c>
      <c r="G62" s="25">
        <f t="shared" si="24"/>
        <v>1.4690163717004574</v>
      </c>
      <c r="H62" s="25">
        <f t="shared" si="24"/>
        <v>1.4473442842215012</v>
      </c>
      <c r="I62" s="25">
        <f t="shared" si="24"/>
        <v>1.42304273585412</v>
      </c>
      <c r="J62" s="25">
        <f t="shared" si="24"/>
        <v>1.395997333822214</v>
      </c>
      <c r="K62" s="26">
        <f t="shared" si="24"/>
        <v>1.3660706312945976</v>
      </c>
      <c r="N62" s="3217"/>
      <c r="O62" s="3218"/>
    </row>
    <row r="63" spans="1:18" ht="13.35" customHeight="1">
      <c r="A63" s="22" t="str">
        <f>$A33</f>
        <v>DCR Mortgage C</v>
      </c>
      <c r="B63" s="25" t="str">
        <f t="shared" ref="B63:K63" si="25">IF(B55=0,"",-(B52+B53+B54)/B55)</f>
        <v/>
      </c>
      <c r="C63" s="25" t="str">
        <f t="shared" si="25"/>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N63" s="3217"/>
      <c r="O63" s="3218"/>
    </row>
    <row r="64" spans="1:18" ht="13.35" customHeight="1">
      <c r="A64" s="22" t="str">
        <f>$A34</f>
        <v>DCR Other Source</v>
      </c>
      <c r="B64" s="25" t="str">
        <f t="shared" ref="B64:K64" si="26">IF(B56=0,"",-(B52+B53+B54+B55)/B56)</f>
        <v/>
      </c>
      <c r="C64" s="25" t="str">
        <f t="shared" si="26"/>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N64" s="3217"/>
      <c r="O64" s="3218"/>
    </row>
    <row r="65" spans="1:15" ht="13.35" customHeight="1">
      <c r="A65" s="435" t="s">
        <v>3738</v>
      </c>
      <c r="B65" s="25">
        <f t="shared" ref="B65:K65" si="27">IF(AND(B53=0,B54=0,B55=0,B56=0),"",-B52/(B53+B54+B55+B56))</f>
        <v>1.2566970559075636</v>
      </c>
      <c r="C65" s="25">
        <f t="shared" si="27"/>
        <v>1.2518933104016565</v>
      </c>
      <c r="D65" s="25">
        <f t="shared" si="27"/>
        <v>1.2460866318465647</v>
      </c>
      <c r="E65" s="25">
        <f t="shared" si="27"/>
        <v>1.2392408726796267</v>
      </c>
      <c r="F65" s="25">
        <f t="shared" si="27"/>
        <v>1.231300371825681</v>
      </c>
      <c r="G65" s="25">
        <f t="shared" si="27"/>
        <v>1.2222255043329202</v>
      </c>
      <c r="H65" s="25">
        <f t="shared" si="27"/>
        <v>1.2119570129527641</v>
      </c>
      <c r="I65" s="25">
        <f t="shared" si="27"/>
        <v>1.2004426519029943</v>
      </c>
      <c r="J65" s="25">
        <f t="shared" si="27"/>
        <v>1.1876282205332822</v>
      </c>
      <c r="K65" s="26">
        <f t="shared" si="27"/>
        <v>1.1734485949093216</v>
      </c>
      <c r="N65" s="3217"/>
      <c r="O65" s="3218"/>
    </row>
    <row r="66" spans="1:15" ht="13.35" customHeight="1">
      <c r="A66" s="22" t="s">
        <v>778</v>
      </c>
      <c r="B66" s="274">
        <f t="shared" ref="B66:K66" si="28">IF(OR(B50="Choose mgt fee",B50="Choose One!"),"",(B44+B45+B46+B47+B48) / -(B49+B50+B51))</f>
        <v>1.3905069057036068</v>
      </c>
      <c r="C66" s="274">
        <f t="shared" si="28"/>
        <v>1.3779394798847815</v>
      </c>
      <c r="D66" s="274">
        <f t="shared" si="28"/>
        <v>1.3654737847314584</v>
      </c>
      <c r="E66" s="274">
        <f t="shared" si="28"/>
        <v>1.3531135987014558</v>
      </c>
      <c r="F66" s="274">
        <f t="shared" si="28"/>
        <v>1.3408554640436565</v>
      </c>
      <c r="G66" s="274">
        <f t="shared" si="28"/>
        <v>1.3287026998432403</v>
      </c>
      <c r="H66" s="274">
        <f t="shared" si="28"/>
        <v>1.3166519269127743</v>
      </c>
      <c r="I66" s="274">
        <f t="shared" si="28"/>
        <v>1.3047031068210451</v>
      </c>
      <c r="J66" s="274">
        <f t="shared" si="28"/>
        <v>1.2928561171456801</v>
      </c>
      <c r="K66" s="275">
        <f t="shared" si="28"/>
        <v>1.2811080264883772</v>
      </c>
      <c r="N66" s="3217"/>
      <c r="O66" s="3218"/>
    </row>
    <row r="67" spans="1:15" ht="13.35" customHeight="1">
      <c r="A67" s="435" t="s">
        <v>2634</v>
      </c>
      <c r="B67" s="3230">
        <f>IF('Part III-Sources of Funds'!$I$37="","",-FV('Part III-Sources of Funds'!$K$37/12,12,B53/12,K37))</f>
        <v>656416.46624818421</v>
      </c>
      <c r="C67" s="3230">
        <f>IF('Part III-Sources of Funds'!$I$37="","",-FV('Part III-Sources of Funds'!$K$37/12,12,C53/12,B67))</f>
        <v>637806.54735693708</v>
      </c>
      <c r="D67" s="3230">
        <f>IF('Part III-Sources of Funds'!$I$37="","",-FV('Part III-Sources of Funds'!$K$37/12,12,D53/12,C67))</f>
        <v>617999.60471292795</v>
      </c>
      <c r="E67" s="3230">
        <f>IF('Part III-Sources of Funds'!$I$37="","",-FV('Part III-Sources of Funds'!$K$37/12,12,E53/12,D67))</f>
        <v>596918.64357625227</v>
      </c>
      <c r="F67" s="3230">
        <f>IF('Part III-Sources of Funds'!$I$37="","",-FV('Part III-Sources of Funds'!$K$37/12,12,F53/12,E67))</f>
        <v>574481.7167656197</v>
      </c>
      <c r="G67" s="3230">
        <f>IF('Part III-Sources of Funds'!$I$37="","",-FV('Part III-Sources of Funds'!$K$37/12,12,G53/12,F67))</f>
        <v>550601.60610833741</v>
      </c>
      <c r="H67" s="3230">
        <f>IF('Part III-Sources of Funds'!$I$37="","",-FV('Part III-Sources of Funds'!$K$37/12,12,H53/12,G67))</f>
        <v>525185.48340057838</v>
      </c>
      <c r="I67" s="3230">
        <f>IF('Part III-Sources of Funds'!$I$37="","",-FV('Part III-Sources of Funds'!$K$37/12,12,I53/12,H67))</f>
        <v>498134.54955999856</v>
      </c>
      <c r="J67" s="3230">
        <f>IF('Part III-Sources of Funds'!$I$37="","",-FV('Part III-Sources of Funds'!$K$37/12,12,J53/12,I67))</f>
        <v>469343.65056799643</v>
      </c>
      <c r="K67" s="3230">
        <f>IF('Part III-Sources of Funds'!$I$37="","",-FV('Part III-Sources of Funds'!$K$37/12,12,K53/12,J67))</f>
        <v>438700.86870868062</v>
      </c>
      <c r="N67" s="3217"/>
      <c r="O67" s="3218"/>
    </row>
    <row r="68" spans="1:15" ht="13.35" customHeight="1">
      <c r="A68" s="435" t="s">
        <v>2635</v>
      </c>
      <c r="B68" s="3226">
        <f>IF('Part III-Sources of Funds'!$I$38="","",-FV('Part III-Sources of Funds'!$K$38/12,12,B54/12,K38))</f>
        <v>840751.28673506656</v>
      </c>
      <c r="C68" s="3226">
        <f>IF('Part III-Sources of Funds'!$I$38="","",-FV('Part III-Sources of Funds'!$K$38/12,12,C54/12,B68))</f>
        <v>804005.48724057304</v>
      </c>
      <c r="D68" s="3226">
        <f>IF('Part III-Sources of Funds'!$I$38="","",-FV('Part III-Sources of Funds'!$K$38/12,12,D54/12,C68))</f>
        <v>766517.99745928147</v>
      </c>
      <c r="E68" s="3226">
        <f>IF('Part III-Sources of Funds'!$I$38="","",-FV('Part III-Sources of Funds'!$K$38/12,12,E54/12,D68))</f>
        <v>728273.84685063758</v>
      </c>
      <c r="F68" s="3226">
        <f>IF('Part III-Sources of Funds'!$I$38="","",-FV('Part III-Sources of Funds'!$K$38/12,12,F54/12,E68))</f>
        <v>689257.76270337193</v>
      </c>
      <c r="G68" s="3226">
        <f>IF('Part III-Sources of Funds'!$I$38="","",-FV('Part III-Sources of Funds'!$K$38/12,12,G54/12,F68))</f>
        <v>649454.1640363785</v>
      </c>
      <c r="H68" s="3226">
        <f>IF('Part III-Sources of Funds'!$I$38="","",-FV('Part III-Sources of Funds'!$K$38/12,12,H54/12,G68))</f>
        <v>608847.15537648671</v>
      </c>
      <c r="I68" s="3226">
        <f>IF('Part III-Sources of Funds'!$I$38="","",-FV('Part III-Sources of Funds'!$K$38/12,12,I54/12,H68))</f>
        <v>567420.5204106418</v>
      </c>
      <c r="J68" s="3226">
        <f>IF('Part III-Sources of Funds'!$I$38="","",-FV('Part III-Sources of Funds'!$K$38/12,12,J54/12,I68))</f>
        <v>525157.71550995857</v>
      </c>
      <c r="K68" s="3226">
        <f>IF('Part III-Sources of Funds'!$I$38="","",-FV('Part III-Sources of Funds'!$K$38/12,12,K54/12,J68))</f>
        <v>482041.86312306189</v>
      </c>
      <c r="N68" s="3217"/>
      <c r="O68" s="3218"/>
    </row>
    <row r="69" spans="1:15" ht="13.35" customHeight="1">
      <c r="A69" s="435" t="s">
        <v>2636</v>
      </c>
      <c r="B69" s="3226" t="str">
        <f>IF('Part III-Sources of Funds'!$I$39="","",-FV('Part III-Sources of Funds'!$K$39/12,12,B55/12,K39))</f>
        <v/>
      </c>
      <c r="C69" s="3226" t="str">
        <f>IF('Part III-Sources of Funds'!$I$39="","",-FV('Part III-Sources of Funds'!$K$39/12,12,C55/12,B69))</f>
        <v/>
      </c>
      <c r="D69" s="3226" t="str">
        <f>IF('Part III-Sources of Funds'!$I$39="","",-FV('Part III-Sources of Funds'!$K$39/12,12,D55/12,C69))</f>
        <v/>
      </c>
      <c r="E69" s="3226" t="str">
        <f>IF('Part III-Sources of Funds'!$I$39="","",-FV('Part III-Sources of Funds'!$K$39/12,12,E55/12,D69))</f>
        <v/>
      </c>
      <c r="F69" s="3226" t="str">
        <f>IF('Part III-Sources of Funds'!$I$39="","",-FV('Part III-Sources of Funds'!$K$39/12,12,F55/12,E69))</f>
        <v/>
      </c>
      <c r="G69" s="3226" t="str">
        <f>IF('Part III-Sources of Funds'!$I$39="","",-FV('Part III-Sources of Funds'!$K$39/12,12,G55/12,F69))</f>
        <v/>
      </c>
      <c r="H69" s="3226" t="str">
        <f>IF('Part III-Sources of Funds'!$I$39="","",-FV('Part III-Sources of Funds'!$K$39/12,12,H55/12,G69))</f>
        <v/>
      </c>
      <c r="I69" s="3226" t="str">
        <f>IF('Part III-Sources of Funds'!$I$39="","",-FV('Part III-Sources of Funds'!$K$39/12,12,I55/12,H69))</f>
        <v/>
      </c>
      <c r="J69" s="3226" t="str">
        <f>IF('Part III-Sources of Funds'!$I$39="","",-FV('Part III-Sources of Funds'!$K$39/12,12,J55/12,I69))</f>
        <v/>
      </c>
      <c r="K69" s="3226" t="str">
        <f>IF('Part III-Sources of Funds'!$I$39="","",-FV('Part III-Sources of Funds'!$K$39/12,12,K55/12,J69))</f>
        <v/>
      </c>
      <c r="N69" s="3217"/>
      <c r="O69" s="3218"/>
    </row>
    <row r="70" spans="1:15" ht="13.35" customHeight="1">
      <c r="A70" s="22" t="s">
        <v>792</v>
      </c>
      <c r="B70" s="3226" t="str">
        <f>IF('Part III-Sources of Funds'!$I$40="","",-FV('Part III-Sources of Funds'!$K$40/12,12,B56/12,K40))</f>
        <v/>
      </c>
      <c r="C70" s="3226" t="str">
        <f>IF('Part III-Sources of Funds'!$I$40="","",-FV('Part III-Sources of Funds'!$K$40/12,12,C56/12,B70))</f>
        <v/>
      </c>
      <c r="D70" s="3226" t="str">
        <f>IF('Part III-Sources of Funds'!$I$40="","",-FV('Part III-Sources of Funds'!$K$40/12,12,D56/12,C70))</f>
        <v/>
      </c>
      <c r="E70" s="3226" t="str">
        <f>IF('Part III-Sources of Funds'!$I$40="","",-FV('Part III-Sources of Funds'!$K$40/12,12,E56/12,D70))</f>
        <v/>
      </c>
      <c r="F70" s="3226" t="str">
        <f>IF('Part III-Sources of Funds'!$I$40="","",-FV('Part III-Sources of Funds'!$K$40/12,12,F56/12,E70))</f>
        <v/>
      </c>
      <c r="G70" s="3226" t="str">
        <f>IF('Part III-Sources of Funds'!$I$40="","",-FV('Part III-Sources of Funds'!$K$40/12,12,G56/12,F70))</f>
        <v/>
      </c>
      <c r="H70" s="3226" t="str">
        <f>IF('Part III-Sources of Funds'!$I$40="","",-FV('Part III-Sources of Funds'!$K$40/12,12,H56/12,G70))</f>
        <v/>
      </c>
      <c r="I70" s="3226" t="str">
        <f>IF('Part III-Sources of Funds'!$I$40="","",-FV('Part III-Sources of Funds'!$K$40/12,12,I56/12,H70))</f>
        <v/>
      </c>
      <c r="J70" s="3226" t="str">
        <f>IF('Part III-Sources of Funds'!$I$40="","",-FV('Part III-Sources of Funds'!$K$40/12,12,J56/12,I70))</f>
        <v/>
      </c>
      <c r="K70" s="3226" t="str">
        <f>IF('Part III-Sources of Funds'!$I$40="","",-FV('Part III-Sources of Funds'!$K$40/12,12,K56/12,J70))</f>
        <v/>
      </c>
      <c r="N70" s="3217"/>
      <c r="O70" s="3218"/>
    </row>
    <row r="71" spans="1:15" ht="13.35" customHeight="1">
      <c r="A71" s="435" t="s">
        <v>4129</v>
      </c>
      <c r="B71" s="3229">
        <f>IF('Part III-Sources of Funds'!$I$42="","",IF(-FV('Part III-Sources of Funds'!$K$42/12,12,B59/12,K41)&gt;0,-FV('Part III-Sources of Funds'!$K$42/12,12,B59/12,K41),0))</f>
        <v>0</v>
      </c>
      <c r="C71" s="3229">
        <f>IF('Part III-Sources of Funds'!$I$42="","",IF(-FV('Part III-Sources of Funds'!$K$42/12,12,C59/12,B71)&gt;0,-FV('Part III-Sources of Funds'!$K$42/12,12,C59/12,B71),0))</f>
        <v>0</v>
      </c>
      <c r="D71" s="3229">
        <f>IF('Part III-Sources of Funds'!$I$42="","",IF(-FV('Part III-Sources of Funds'!$K$42/12,12,D59/12,C71)&gt;0,-FV('Part III-Sources of Funds'!$K$42/12,12,D59/12,C71),0))</f>
        <v>0</v>
      </c>
      <c r="E71" s="3229">
        <f>IF('Part III-Sources of Funds'!$I$42="","",IF(-FV('Part III-Sources of Funds'!$K$42/12,12,E59/12,D71)&gt;0,-FV('Part III-Sources of Funds'!$K$42/12,12,E59/12,D71),0))</f>
        <v>0</v>
      </c>
      <c r="F71" s="3229">
        <f>IF('Part III-Sources of Funds'!$I$42="","",IF(-FV('Part III-Sources of Funds'!$K$42/12,12,F59/12,E71)&gt;0,-FV('Part III-Sources of Funds'!$K$42/12,12,F59/12,E71),0))</f>
        <v>0</v>
      </c>
      <c r="G71" s="3229">
        <f>IF('Part III-Sources of Funds'!$I$42="","",IF(-FV('Part III-Sources of Funds'!$K$42/12,12,G59/12,F71)&gt;0,-FV('Part III-Sources of Funds'!$K$42/12,12,G59/12,F71),0))</f>
        <v>0</v>
      </c>
      <c r="H71" s="3229" t="str">
        <f>IF('Part III-Sources of Funds'!$I$40="","",-FV('Part III-Sources of Funds'!$K$40/12,12,H57/12,G71))</f>
        <v/>
      </c>
      <c r="I71" s="3229" t="str">
        <f>IF('Part III-Sources of Funds'!$I$40="","",-FV('Part III-Sources of Funds'!$K$40/12,12,I57/12,H71))</f>
        <v/>
      </c>
      <c r="J71" s="3229" t="str">
        <f>IF('Part III-Sources of Funds'!$I$40="","",-FV('Part III-Sources of Funds'!$K$40/12,12,J57/12,I71))</f>
        <v/>
      </c>
      <c r="K71" s="3229" t="str">
        <f>IF('Part III-Sources of Funds'!$I$40="","",-FV('Part III-Sources of Funds'!$K$40/12,12,K57/12,J71))</f>
        <v/>
      </c>
      <c r="N71" s="3223"/>
      <c r="O71" s="3224"/>
    </row>
    <row r="72" spans="1:15" ht="4.3499999999999996" customHeight="1">
      <c r="B72" s="18"/>
      <c r="C72" s="18"/>
      <c r="D72" s="18"/>
      <c r="E72" s="18"/>
      <c r="F72" s="18"/>
      <c r="G72" s="18"/>
      <c r="H72" s="18"/>
      <c r="I72" s="18"/>
      <c r="J72" s="18"/>
      <c r="K72" s="18"/>
    </row>
    <row r="73" spans="1:15" ht="14.45" customHeight="1">
      <c r="A73" s="14" t="s">
        <v>2496</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N73" s="1724" t="s">
        <v>2640</v>
      </c>
      <c r="O73" s="1724"/>
    </row>
    <row r="74" spans="1:15" ht="13.35" customHeight="1">
      <c r="A74" s="19" t="s">
        <v>2420</v>
      </c>
      <c r="B74" s="20">
        <f t="shared" ref="B74:K74" si="30">$B$14*(1+$B$5)^(B73-1)</f>
        <v>645959.16440054227</v>
      </c>
      <c r="C74" s="20">
        <f t="shared" si="30"/>
        <v>658878.34768855316</v>
      </c>
      <c r="D74" s="20">
        <f t="shared" si="30"/>
        <v>672055.91464232421</v>
      </c>
      <c r="E74" s="20">
        <f t="shared" si="30"/>
        <v>685497.03293517057</v>
      </c>
      <c r="F74" s="20">
        <f t="shared" si="30"/>
        <v>699206.97359387402</v>
      </c>
      <c r="G74" s="20">
        <f t="shared" si="30"/>
        <v>713191.1130657515</v>
      </c>
      <c r="H74" s="20">
        <f t="shared" si="30"/>
        <v>727454.93532706657</v>
      </c>
      <c r="I74" s="20">
        <f t="shared" si="30"/>
        <v>742004.03403360781</v>
      </c>
      <c r="J74" s="20">
        <f t="shared" si="30"/>
        <v>756844.11471428012</v>
      </c>
      <c r="K74" s="21">
        <f t="shared" si="30"/>
        <v>771980.99700856558</v>
      </c>
      <c r="N74" s="3215"/>
      <c r="O74" s="3216"/>
    </row>
    <row r="75" spans="1:15" ht="13.35" customHeight="1">
      <c r="A75" s="22" t="s">
        <v>1026</v>
      </c>
      <c r="B75" s="23">
        <f t="shared" ref="B75:K75" si="31">$B$15*(1+$B$5)^(B73-1)</f>
        <v>12919.183288010847</v>
      </c>
      <c r="C75" s="23">
        <f t="shared" si="31"/>
        <v>13177.566953771062</v>
      </c>
      <c r="D75" s="23">
        <f t="shared" si="31"/>
        <v>13441.118292846484</v>
      </c>
      <c r="E75" s="23">
        <f t="shared" si="31"/>
        <v>13709.940658703412</v>
      </c>
      <c r="F75" s="23">
        <f t="shared" si="31"/>
        <v>13984.139471877481</v>
      </c>
      <c r="G75" s="23">
        <f t="shared" si="31"/>
        <v>14263.82226131503</v>
      </c>
      <c r="H75" s="23">
        <f t="shared" si="31"/>
        <v>14549.098706541332</v>
      </c>
      <c r="I75" s="23">
        <f t="shared" si="31"/>
        <v>14840.080680672156</v>
      </c>
      <c r="J75" s="23">
        <f t="shared" si="31"/>
        <v>15136.882294285602</v>
      </c>
      <c r="K75" s="24">
        <f t="shared" si="31"/>
        <v>15439.619940171311</v>
      </c>
      <c r="N75" s="3217"/>
      <c r="O75" s="3218"/>
    </row>
    <row r="76" spans="1:15" ht="13.35" customHeight="1">
      <c r="A76" s="22" t="s">
        <v>2421</v>
      </c>
      <c r="B76" s="23">
        <f t="shared" ref="B76:K76" si="32">-(B74+B75)*$B$8</f>
        <v>-46121.484338198723</v>
      </c>
      <c r="C76" s="23">
        <f t="shared" si="32"/>
        <v>-47043.914024962702</v>
      </c>
      <c r="D76" s="23">
        <f t="shared" si="32"/>
        <v>-47984.792305461953</v>
      </c>
      <c r="E76" s="23">
        <f t="shared" si="32"/>
        <v>-48944.48815157119</v>
      </c>
      <c r="F76" s="23">
        <f t="shared" si="32"/>
        <v>-49923.377914602606</v>
      </c>
      <c r="G76" s="23">
        <f t="shared" si="32"/>
        <v>-50921.845472894667</v>
      </c>
      <c r="H76" s="23">
        <f t="shared" si="32"/>
        <v>-51940.282382352561</v>
      </c>
      <c r="I76" s="23">
        <f t="shared" si="32"/>
        <v>-52979.088029999606</v>
      </c>
      <c r="J76" s="23">
        <f t="shared" si="32"/>
        <v>-54038.669790599604</v>
      </c>
      <c r="K76" s="24">
        <f t="shared" si="32"/>
        <v>-55119.44318641159</v>
      </c>
      <c r="N76" s="3217"/>
      <c r="O76" s="3218"/>
    </row>
    <row r="77" spans="1:15" ht="13.3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7"/>
      <c r="O77" s="3218"/>
    </row>
    <row r="78" spans="1:15" ht="13.3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7"/>
      <c r="O78" s="3218"/>
    </row>
    <row r="79" spans="1:15" ht="13.35" customHeight="1">
      <c r="A79" s="22" t="s">
        <v>620</v>
      </c>
      <c r="B79" s="23">
        <f t="shared" ref="B79:K79" si="33">$B$19*(1+$B$6)^(B73-1)</f>
        <v>-430380.05222060916</v>
      </c>
      <c r="C79" s="23">
        <f t="shared" si="33"/>
        <v>-443291.45378722739</v>
      </c>
      <c r="D79" s="23">
        <f t="shared" si="33"/>
        <v>-456590.19740084425</v>
      </c>
      <c r="E79" s="23">
        <f t="shared" si="33"/>
        <v>-470287.90332286962</v>
      </c>
      <c r="F79" s="23">
        <f t="shared" si="33"/>
        <v>-484396.54042255558</v>
      </c>
      <c r="G79" s="23">
        <f t="shared" si="33"/>
        <v>-498928.43663523224</v>
      </c>
      <c r="H79" s="23">
        <f t="shared" si="33"/>
        <v>-513896.28973428928</v>
      </c>
      <c r="I79" s="23">
        <f t="shared" si="33"/>
        <v>-529313.17842631787</v>
      </c>
      <c r="J79" s="23">
        <f t="shared" si="33"/>
        <v>-545192.57377910742</v>
      </c>
      <c r="K79" s="24">
        <f t="shared" si="33"/>
        <v>-561548.35099248064</v>
      </c>
      <c r="N79" s="3217"/>
      <c r="O79" s="3218"/>
    </row>
    <row r="80" spans="1:15" ht="13.35" customHeight="1">
      <c r="A80" s="22" t="s">
        <v>1125</v>
      </c>
      <c r="B80" s="23">
        <f>IF(AND('Part VII-Pro Forma'!$G$8="Yes",'Part VII-Pro Forma'!$G$9="Yes"),"Choose One!",IF('Part VII-Pro Forma'!$G$8="Yes",ROUND((-$K$8*(1+'Part VII-Pro Forma'!$B$6)^('Part VII-Pro Forma'!B73-1)),),IF('Part VII-Pro Forma'!$G$9="Yes",ROUND((-(SUM(B74:B77)*'Part VII-Pro Forma'!$K$9)),),"Choose mgt fee")))</f>
        <v>-30638</v>
      </c>
      <c r="C80" s="23">
        <f>IF(AND('Part VII-Pro Forma'!$G$8="Yes",'Part VII-Pro Forma'!$G$9="Yes"),"Choose One!",IF('Part VII-Pro Forma'!$G$8="Yes",ROUND((-$K$8*(1+'Part VII-Pro Forma'!$B$6)^('Part VII-Pro Forma'!C73-1)),),IF('Part VII-Pro Forma'!$G$9="Yes",ROUND((-(SUM(C74:C77)*'Part VII-Pro Forma'!$K$9)),),"Choose mgt fee")))</f>
        <v>-31251</v>
      </c>
      <c r="D80" s="23">
        <f>IF(AND('Part VII-Pro Forma'!$G$8="Yes",'Part VII-Pro Forma'!$G$9="Yes"),"Choose One!",IF('Part VII-Pro Forma'!$G$8="Yes",ROUND((-$K$8*(1+'Part VII-Pro Forma'!$B$6)^('Part VII-Pro Forma'!D73-1)),),IF('Part VII-Pro Forma'!$G$9="Yes",ROUND((-(SUM(D74:D77)*'Part VII-Pro Forma'!$K$9)),),"Choose mgt fee")))</f>
        <v>-31876</v>
      </c>
      <c r="E80" s="23">
        <f>IF(AND('Part VII-Pro Forma'!$G$8="Yes",'Part VII-Pro Forma'!$G$9="Yes"),"Choose One!",IF('Part VII-Pro Forma'!$G$8="Yes",ROUND((-$K$8*(1+'Part VII-Pro Forma'!$B$6)^('Part VII-Pro Forma'!E73-1)),),IF('Part VII-Pro Forma'!$G$9="Yes",ROUND((-(SUM(E74:E77)*'Part VII-Pro Forma'!$K$9)),),"Choose mgt fee")))</f>
        <v>-32513</v>
      </c>
      <c r="F80" s="23">
        <f>IF(AND('Part VII-Pro Forma'!$G$8="Yes",'Part VII-Pro Forma'!$G$9="Yes"),"Choose One!",IF('Part VII-Pro Forma'!$G$8="Yes",ROUND((-$K$8*(1+'Part VII-Pro Forma'!$B$6)^('Part VII-Pro Forma'!F73-1)),),IF('Part VII-Pro Forma'!$G$9="Yes",ROUND((-(SUM(F74:F77)*'Part VII-Pro Forma'!$K$9)),),"Choose mgt fee")))</f>
        <v>-33163</v>
      </c>
      <c r="G80" s="23">
        <f>IF(AND('Part VII-Pro Forma'!$G$8="Yes",'Part VII-Pro Forma'!$G$9="Yes"),"Choose One!",IF('Part VII-Pro Forma'!$G$8="Yes",ROUND((-$K$8*(1+'Part VII-Pro Forma'!$B$6)^('Part VII-Pro Forma'!G73-1)),),IF('Part VII-Pro Forma'!$G$9="Yes",ROUND((-(SUM(G74:G77)*'Part VII-Pro Forma'!$K$9)),),"Choose mgt fee")))</f>
        <v>-33827</v>
      </c>
      <c r="H80" s="23">
        <f>IF(AND('Part VII-Pro Forma'!$G$8="Yes",'Part VII-Pro Forma'!$G$9="Yes"),"Choose One!",IF('Part VII-Pro Forma'!$G$8="Yes",ROUND((-$K$8*(1+'Part VII-Pro Forma'!$B$6)^('Part VII-Pro Forma'!H73-1)),),IF('Part VII-Pro Forma'!$G$9="Yes",ROUND((-(SUM(H74:H77)*'Part VII-Pro Forma'!$K$9)),),"Choose mgt fee")))</f>
        <v>-34503</v>
      </c>
      <c r="I80" s="23">
        <f>IF(AND('Part VII-Pro Forma'!$G$8="Yes",'Part VII-Pro Forma'!$G$9="Yes"),"Choose One!",IF('Part VII-Pro Forma'!$G$8="Yes",ROUND((-$K$8*(1+'Part VII-Pro Forma'!$B$6)^('Part VII-Pro Forma'!I73-1)),),IF('Part VII-Pro Forma'!$G$9="Yes",ROUND((-(SUM(I74:I77)*'Part VII-Pro Forma'!$K$9)),),"Choose mgt fee")))</f>
        <v>-35193</v>
      </c>
      <c r="J80" s="23">
        <f>IF(AND('Part VII-Pro Forma'!$G$8="Yes",'Part VII-Pro Forma'!$G$9="Yes"),"Choose One!",IF('Part VII-Pro Forma'!$G$8="Yes",ROUND((-$K$8*(1+'Part VII-Pro Forma'!$B$6)^('Part VII-Pro Forma'!J73-1)),),IF('Part VII-Pro Forma'!$G$9="Yes",ROUND((-(SUM(J74:J77)*'Part VII-Pro Forma'!$K$9)),),"Choose mgt fee")))</f>
        <v>-35897</v>
      </c>
      <c r="K80" s="23">
        <f>IF(AND('Part VII-Pro Forma'!$G$8="Yes",'Part VII-Pro Forma'!$G$9="Yes"),"Choose One!",IF('Part VII-Pro Forma'!$G$8="Yes",ROUND((-$K$8*(1+'Part VII-Pro Forma'!$B$6)^('Part VII-Pro Forma'!K73-1)),),IF('Part VII-Pro Forma'!$G$9="Yes",ROUND((-(SUM(K74:K77)*'Part VII-Pro Forma'!$K$9)),),"Choose mgt fee")))</f>
        <v>-36615</v>
      </c>
      <c r="N80" s="3217"/>
      <c r="O80" s="3218"/>
    </row>
    <row r="81" spans="1:15" ht="13.35" customHeight="1">
      <c r="A81" s="22" t="s">
        <v>1214</v>
      </c>
      <c r="B81" s="23">
        <f t="shared" ref="B81:K81" si="34">$B$21*(1+$B$7)^(B73-1)</f>
        <v>-21673.334816032959</v>
      </c>
      <c r="C81" s="23">
        <f t="shared" si="34"/>
        <v>-22323.534860513944</v>
      </c>
      <c r="D81" s="23">
        <f t="shared" si="34"/>
        <v>-22993.240906329367</v>
      </c>
      <c r="E81" s="23">
        <f t="shared" si="34"/>
        <v>-23683.038133519247</v>
      </c>
      <c r="F81" s="23">
        <f t="shared" si="34"/>
        <v>-24393.529277524824</v>
      </c>
      <c r="G81" s="23">
        <f t="shared" si="34"/>
        <v>-25125.335155850567</v>
      </c>
      <c r="H81" s="23">
        <f t="shared" si="34"/>
        <v>-25879.095210526088</v>
      </c>
      <c r="I81" s="23">
        <f t="shared" si="34"/>
        <v>-26655.468066841866</v>
      </c>
      <c r="J81" s="23">
        <f t="shared" si="34"/>
        <v>-27455.132108847123</v>
      </c>
      <c r="K81" s="24">
        <f t="shared" si="34"/>
        <v>-28278.786072112533</v>
      </c>
      <c r="N81" s="3217"/>
      <c r="O81" s="3218"/>
    </row>
    <row r="82" spans="1:15" ht="13.35" customHeight="1">
      <c r="A82" s="22" t="s">
        <v>1215</v>
      </c>
      <c r="B82" s="23">
        <f t="shared" ref="B82:K82" si="35">SUM(B74:B81)</f>
        <v>130065.47631371237</v>
      </c>
      <c r="C82" s="23">
        <f t="shared" si="35"/>
        <v>128146.01196962017</v>
      </c>
      <c r="D82" s="23">
        <f t="shared" si="35"/>
        <v>126052.80232253514</v>
      </c>
      <c r="E82" s="23">
        <f t="shared" si="35"/>
        <v>123778.54398591402</v>
      </c>
      <c r="F82" s="23">
        <f t="shared" si="35"/>
        <v>121314.66545106846</v>
      </c>
      <c r="G82" s="23">
        <f t="shared" si="35"/>
        <v>118652.31806308916</v>
      </c>
      <c r="H82" s="23">
        <f t="shared" si="35"/>
        <v>115785.36670644005</v>
      </c>
      <c r="I82" s="23">
        <f t="shared" si="35"/>
        <v>112703.38019112064</v>
      </c>
      <c r="J82" s="23">
        <f t="shared" si="35"/>
        <v>109397.62133001155</v>
      </c>
      <c r="K82" s="24">
        <f t="shared" si="35"/>
        <v>105859.03669773214</v>
      </c>
      <c r="N82" s="3217"/>
      <c r="O82" s="3218"/>
    </row>
    <row r="83" spans="1:15" ht="13.35" customHeight="1">
      <c r="A83" s="22" t="str">
        <f>$A53</f>
        <v>Mortgage A</v>
      </c>
      <c r="B83" s="3225">
        <f>IF('Part III-Sources of Funds'!$N$37="", 0,-'Part III-Sources of Funds'!$N$37)</f>
        <v>-59108.851240933596</v>
      </c>
      <c r="C83" s="3225">
        <f>IF('Part III-Sources of Funds'!$N$37="", 0,-'Part III-Sources of Funds'!$N$37)</f>
        <v>-59108.851240933596</v>
      </c>
      <c r="D83" s="3225">
        <f>IF('Part III-Sources of Funds'!$N$37="", 0,-'Part III-Sources of Funds'!$N$37)</f>
        <v>-59108.851240933596</v>
      </c>
      <c r="E83" s="3225">
        <f>IF('Part III-Sources of Funds'!$N$37="", 0,-'Part III-Sources of Funds'!$N$37)</f>
        <v>-59108.851240933596</v>
      </c>
      <c r="F83" s="3225">
        <f>IF('Part III-Sources of Funds'!$N$37="", 0,-'Part III-Sources of Funds'!$N$37)</f>
        <v>-59108.851240933596</v>
      </c>
      <c r="G83" s="3225">
        <f>IF('Part III-Sources of Funds'!$N$37="", 0,-'Part III-Sources of Funds'!$N$37)</f>
        <v>-59108.851240933596</v>
      </c>
      <c r="H83" s="3225">
        <f>IF('Part III-Sources of Funds'!$N$37="", 0,-'Part III-Sources of Funds'!$N$37)</f>
        <v>-59108.851240933596</v>
      </c>
      <c r="I83" s="3225">
        <f>IF('Part III-Sources of Funds'!$N$37="", 0,-'Part III-Sources of Funds'!$N$37)</f>
        <v>-59108.851240933596</v>
      </c>
      <c r="J83" s="3225">
        <f>IF('Part III-Sources of Funds'!$N$37="", 0,-'Part III-Sources of Funds'!$N$37)</f>
        <v>-59108.851240933596</v>
      </c>
      <c r="K83" s="3225">
        <f>IF('Part III-Sources of Funds'!$N$37="", 0,-'Part III-Sources of Funds'!$N$37)</f>
        <v>-59108.851240933596</v>
      </c>
      <c r="N83" s="3217"/>
      <c r="O83" s="3218"/>
    </row>
    <row r="84" spans="1:15" ht="13.35" customHeight="1">
      <c r="A84" s="22" t="str">
        <f>$A54</f>
        <v>Mortgage B</v>
      </c>
      <c r="B84" s="3226">
        <f>IF('Part III-Sources of Funds'!$N$38="", 0,-'Part III-Sources of Funds'!$N$38)</f>
        <v>-53225.204067190156</v>
      </c>
      <c r="C84" s="3226">
        <f>IF('Part III-Sources of Funds'!$N$38="", 0,-'Part III-Sources of Funds'!$N$38)</f>
        <v>-53225.204067190156</v>
      </c>
      <c r="D84" s="3226">
        <f>IF('Part III-Sources of Funds'!$N$38="", 0,-'Part III-Sources of Funds'!$N$38)</f>
        <v>-53225.204067190156</v>
      </c>
      <c r="E84" s="3226">
        <f>IF('Part III-Sources of Funds'!$N$38="", 0,-'Part III-Sources of Funds'!$N$38)</f>
        <v>-53225.204067190156</v>
      </c>
      <c r="F84" s="3226">
        <f>IF('Part III-Sources of Funds'!$N$38="", 0,-'Part III-Sources of Funds'!$N$38)</f>
        <v>-53225.204067190156</v>
      </c>
      <c r="G84" s="3226">
        <f>IF('Part III-Sources of Funds'!$N$38="", 0,-'Part III-Sources of Funds'!$N$38)</f>
        <v>-53225.204067190156</v>
      </c>
      <c r="H84" s="3226">
        <f>IF('Part III-Sources of Funds'!$N$38="", 0,-'Part III-Sources of Funds'!$N$38)</f>
        <v>-53225.204067190156</v>
      </c>
      <c r="I84" s="3226">
        <f>IF('Part III-Sources of Funds'!$N$38="", 0,-'Part III-Sources of Funds'!$N$38)</f>
        <v>-53225.204067190156</v>
      </c>
      <c r="J84" s="3226">
        <f>IF('Part III-Sources of Funds'!$N$38="", 0,-'Part III-Sources of Funds'!$N$38)</f>
        <v>-53225.204067190156</v>
      </c>
      <c r="K84" s="3226">
        <f>IF('Part III-Sources of Funds'!$N$38="", 0,-'Part III-Sources of Funds'!$N$38)</f>
        <v>-53225.204067190156</v>
      </c>
      <c r="N84" s="3217"/>
      <c r="O84" s="3218"/>
    </row>
    <row r="85" spans="1:15" ht="13.35" customHeight="1">
      <c r="A85" s="22" t="str">
        <f>$A55</f>
        <v>Mortgage C</v>
      </c>
      <c r="B85" s="3226">
        <f>IF('Part III-Sources of Funds'!$N$39="", 0,-'Part III-Sources of Funds'!$N$39)</f>
        <v>0</v>
      </c>
      <c r="C85" s="3226">
        <f>IF('Part III-Sources of Funds'!$N$39="", 0,-'Part III-Sources of Funds'!$N$39)</f>
        <v>0</v>
      </c>
      <c r="D85" s="3226">
        <f>IF('Part III-Sources of Funds'!$N$39="", 0,-'Part III-Sources of Funds'!$N$39)</f>
        <v>0</v>
      </c>
      <c r="E85" s="3226">
        <f>IF('Part III-Sources of Funds'!$N$39="", 0,-'Part III-Sources of Funds'!$N$39)</f>
        <v>0</v>
      </c>
      <c r="F85" s="3226">
        <f>IF('Part III-Sources of Funds'!$N$39="", 0,-'Part III-Sources of Funds'!$N$39)</f>
        <v>0</v>
      </c>
      <c r="G85" s="3226">
        <f>IF('Part III-Sources of Funds'!$N$39="", 0,-'Part III-Sources of Funds'!$N$39)</f>
        <v>0</v>
      </c>
      <c r="H85" s="3226">
        <f>IF('Part III-Sources of Funds'!$N$39="", 0,-'Part III-Sources of Funds'!$N$39)</f>
        <v>0</v>
      </c>
      <c r="I85" s="3226">
        <f>IF('Part III-Sources of Funds'!$N$39="", 0,-'Part III-Sources of Funds'!$N$39)</f>
        <v>0</v>
      </c>
      <c r="J85" s="3226">
        <f>IF('Part III-Sources of Funds'!$N$39="", 0,-'Part III-Sources of Funds'!$N$39)</f>
        <v>0</v>
      </c>
      <c r="K85" s="3226">
        <f>IF('Part III-Sources of Funds'!$N$39="", 0,-'Part III-Sources of Funds'!$N$39)</f>
        <v>0</v>
      </c>
      <c r="N85" s="3217"/>
      <c r="O85" s="3218"/>
    </row>
    <row r="86" spans="1:15" ht="13.35" customHeight="1">
      <c r="A86" s="22" t="str">
        <f>$A56</f>
        <v>D/S Other Source,not DDF</v>
      </c>
      <c r="B86" s="3226">
        <f>IF('Part III-Sources of Funds'!$N$40="", 0,-'Part III-Sources of Funds'!$N$40)</f>
        <v>0</v>
      </c>
      <c r="C86" s="3226">
        <f>IF('Part III-Sources of Funds'!$N$40="", 0,-'Part III-Sources of Funds'!$N$40)</f>
        <v>0</v>
      </c>
      <c r="D86" s="3226">
        <f>IF('Part III-Sources of Funds'!$N$40="", 0,-'Part III-Sources of Funds'!$N$40)</f>
        <v>0</v>
      </c>
      <c r="E86" s="3226">
        <f>IF('Part III-Sources of Funds'!$N$40="", 0,-'Part III-Sources of Funds'!$N$40)</f>
        <v>0</v>
      </c>
      <c r="F86" s="3226">
        <f>IF('Part III-Sources of Funds'!$N$40="", 0,-'Part III-Sources of Funds'!$N$40)</f>
        <v>0</v>
      </c>
      <c r="G86" s="3226">
        <f>IF('Part III-Sources of Funds'!$N$40="", 0,-'Part III-Sources of Funds'!$N$40)</f>
        <v>0</v>
      </c>
      <c r="H86" s="3226">
        <f>IF('Part III-Sources of Funds'!$N$40="", 0,-'Part III-Sources of Funds'!$N$40)</f>
        <v>0</v>
      </c>
      <c r="I86" s="3226">
        <f>IF('Part III-Sources of Funds'!$N$40="", 0,-'Part III-Sources of Funds'!$N$40)</f>
        <v>0</v>
      </c>
      <c r="J86" s="3226">
        <f>IF('Part III-Sources of Funds'!$N$40="", 0,-'Part III-Sources of Funds'!$N$40)</f>
        <v>0</v>
      </c>
      <c r="K86" s="3226">
        <f>IF('Part III-Sources of Funds'!$N$40="", 0,-'Part III-Sources of Funds'!$N$40)</f>
        <v>0</v>
      </c>
      <c r="N86" s="3217"/>
      <c r="O86" s="3218"/>
    </row>
    <row r="87" spans="1:15" ht="13.35" customHeight="1">
      <c r="A87" s="22" t="s">
        <v>771</v>
      </c>
      <c r="B87" s="3227"/>
      <c r="C87" s="3227"/>
      <c r="D87" s="3227"/>
      <c r="E87" s="3227"/>
      <c r="F87" s="3227"/>
      <c r="G87" s="3227"/>
      <c r="H87" s="3227"/>
      <c r="I87" s="3227"/>
      <c r="J87" s="3227"/>
      <c r="K87" s="3227"/>
      <c r="N87" s="3217"/>
      <c r="O87" s="3218"/>
    </row>
    <row r="88" spans="1:15" ht="13.35" customHeight="1">
      <c r="A88" s="435" t="s">
        <v>1174</v>
      </c>
      <c r="B88" s="3229">
        <f>+K58</f>
        <v>-9457.9127343335094</v>
      </c>
      <c r="C88" s="3229">
        <f t="shared" ref="C88:K88" si="36">+B88</f>
        <v>-9457.9127343335094</v>
      </c>
      <c r="D88" s="3229">
        <f t="shared" si="36"/>
        <v>-9457.9127343335094</v>
      </c>
      <c r="E88" s="3229">
        <f t="shared" si="36"/>
        <v>-9457.9127343335094</v>
      </c>
      <c r="F88" s="3229">
        <f t="shared" si="36"/>
        <v>-9457.9127343335094</v>
      </c>
      <c r="G88" s="3229">
        <f t="shared" si="36"/>
        <v>-9457.9127343335094</v>
      </c>
      <c r="H88" s="3229">
        <f t="shared" si="36"/>
        <v>-9457.9127343335094</v>
      </c>
      <c r="I88" s="3229">
        <f t="shared" si="36"/>
        <v>-9457.9127343335094</v>
      </c>
      <c r="J88" s="3229">
        <f t="shared" si="36"/>
        <v>-9457.9127343335094</v>
      </c>
      <c r="K88" s="3229">
        <f t="shared" si="36"/>
        <v>-9457.9127343335094</v>
      </c>
      <c r="N88" s="3217"/>
      <c r="O88" s="3218"/>
    </row>
    <row r="89" spans="1:15" ht="13.35" customHeight="1">
      <c r="A89" s="22" t="s">
        <v>1175</v>
      </c>
      <c r="B89" s="23">
        <f t="shared" ref="B89:K89" si="37">SUM(B82:B88)</f>
        <v>8273.5082712551048</v>
      </c>
      <c r="C89" s="23">
        <f t="shared" si="37"/>
        <v>6354.0439271629111</v>
      </c>
      <c r="D89" s="23">
        <f t="shared" si="37"/>
        <v>4260.8342800778737</v>
      </c>
      <c r="E89" s="23">
        <f t="shared" si="37"/>
        <v>1986.5759434567553</v>
      </c>
      <c r="F89" s="23">
        <f t="shared" si="37"/>
        <v>-477.30259138880137</v>
      </c>
      <c r="G89" s="23">
        <f t="shared" si="37"/>
        <v>-3139.6499793681032</v>
      </c>
      <c r="H89" s="23">
        <f t="shared" si="37"/>
        <v>-6006.601336017211</v>
      </c>
      <c r="I89" s="23">
        <f t="shared" si="37"/>
        <v>-9088.5878513366224</v>
      </c>
      <c r="J89" s="23">
        <f t="shared" si="37"/>
        <v>-12394.346712445713</v>
      </c>
      <c r="K89" s="24">
        <f t="shared" si="37"/>
        <v>-15932.931344725122</v>
      </c>
      <c r="N89" s="3217"/>
      <c r="O89" s="3218"/>
    </row>
    <row r="90" spans="1:15" ht="13.35" customHeight="1">
      <c r="A90" s="22" t="str">
        <f>$A61</f>
        <v>DCR Mortgage A</v>
      </c>
      <c r="B90" s="25">
        <f>IF(B83=0,"",-B82/B83)</f>
        <v>2.200439927068663</v>
      </c>
      <c r="C90" s="25">
        <f t="shared" ref="C90:K90" si="38">IF(C83=0,"",-C82/C83)</f>
        <v>2.1679665444230034</v>
      </c>
      <c r="D90" s="25">
        <f t="shared" si="38"/>
        <v>2.1325537491623936</v>
      </c>
      <c r="E90" s="25">
        <f t="shared" si="38"/>
        <v>2.0940779830313447</v>
      </c>
      <c r="F90" s="25">
        <f t="shared" si="38"/>
        <v>2.0523942337599785</v>
      </c>
      <c r="G90" s="25">
        <f t="shared" si="38"/>
        <v>2.0073528003352736</v>
      </c>
      <c r="H90" s="25">
        <f t="shared" si="38"/>
        <v>1.958849889240569</v>
      </c>
      <c r="I90" s="25">
        <f t="shared" si="38"/>
        <v>1.90670902622909</v>
      </c>
      <c r="J90" s="25">
        <f t="shared" si="38"/>
        <v>1.8507823960931991</v>
      </c>
      <c r="K90" s="26">
        <f t="shared" si="38"/>
        <v>1.7909168335253227</v>
      </c>
      <c r="N90" s="3217"/>
      <c r="O90" s="3218"/>
    </row>
    <row r="91" spans="1:15" ht="13.35" customHeight="1">
      <c r="A91" s="22" t="str">
        <f>$A62</f>
        <v>DCR Mortgage B</v>
      </c>
      <c r="B91" s="25">
        <f>IF(B84=0,"",-(B82+B83)/B84)</f>
        <v>1.3331395589053057</v>
      </c>
      <c r="C91" s="25">
        <f t="shared" ref="C91:K91" si="39">IF(C84=0,"",-(C82+C83)/C84)</f>
        <v>1.2970764873261136</v>
      </c>
      <c r="D91" s="25">
        <f t="shared" si="39"/>
        <v>1.2577490731100474</v>
      </c>
      <c r="E91" s="25">
        <f t="shared" si="39"/>
        <v>1.2150200995630385</v>
      </c>
      <c r="F91" s="25">
        <f t="shared" si="39"/>
        <v>1.1687285243962204</v>
      </c>
      <c r="G91" s="25">
        <f t="shared" si="39"/>
        <v>1.1187080982721906</v>
      </c>
      <c r="H91" s="25">
        <f t="shared" si="39"/>
        <v>1.064843554079369</v>
      </c>
      <c r="I91" s="25">
        <f t="shared" si="39"/>
        <v>1.0069389096663803</v>
      </c>
      <c r="J91" s="25">
        <f t="shared" si="39"/>
        <v>0.94483000996284916</v>
      </c>
      <c r="K91" s="26">
        <f t="shared" si="39"/>
        <v>0.87834675838503662</v>
      </c>
      <c r="N91" s="3217"/>
      <c r="O91" s="3218"/>
    </row>
    <row r="92" spans="1:15" ht="13.3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17"/>
      <c r="O92" s="3218"/>
    </row>
    <row r="93" spans="1:15" ht="13.3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17"/>
      <c r="O93" s="3218"/>
    </row>
    <row r="94" spans="1:15" ht="13.35" customHeight="1">
      <c r="A94" s="435" t="s">
        <v>3738</v>
      </c>
      <c r="B94" s="25">
        <f>IF(AND(B83=0,B84=0,B85=0,B86=0),"",-B82/(B83+B84+B85+B86))</f>
        <v>1.1578454633098811</v>
      </c>
      <c r="C94" s="25">
        <f t="shared" ref="C94:K94" si="42">IF(AND(C83=0,C84=0,C85=0,C86=0),"",-C82/(C83+C84+C85+C86))</f>
        <v>1.1407583534496766</v>
      </c>
      <c r="D94" s="25">
        <f t="shared" si="42"/>
        <v>1.1221245594382032</v>
      </c>
      <c r="E94" s="25">
        <f t="shared" si="42"/>
        <v>1.1018790663828426</v>
      </c>
      <c r="F94" s="25">
        <f t="shared" si="42"/>
        <v>1.0799455705423575</v>
      </c>
      <c r="G94" s="25">
        <f t="shared" si="42"/>
        <v>1.0562453010143262</v>
      </c>
      <c r="H94" s="25">
        <f t="shared" si="42"/>
        <v>1.0307236428779287</v>
      </c>
      <c r="I94" s="25">
        <f t="shared" si="42"/>
        <v>1.0032877374718099</v>
      </c>
      <c r="J94" s="25">
        <f t="shared" si="42"/>
        <v>0.97385980618203627</v>
      </c>
      <c r="K94" s="26">
        <f t="shared" si="42"/>
        <v>0.94235925523536801</v>
      </c>
      <c r="N94" s="3217"/>
      <c r="O94" s="3218"/>
    </row>
    <row r="95" spans="1:15" ht="13.35" customHeight="1">
      <c r="A95" s="22" t="s">
        <v>778</v>
      </c>
      <c r="B95" s="274">
        <f>IF(OR(B80="Choose mgt fee",B80="Choose One!"),"",(B74+B75+B76+B77+B78) / -(B79+B80+B81))</f>
        <v>1.2694588712514956</v>
      </c>
      <c r="C95" s="274">
        <f t="shared" ref="C95:K95" si="43">IF(OR(C80="Choose mgt fee",C80="Choose One!"),"",(C74+C75+C76+C77+C78) / -(C79+C80+C81))</f>
        <v>1.2579086009054057</v>
      </c>
      <c r="D95" s="274">
        <f t="shared" si="43"/>
        <v>1.2464570851204628</v>
      </c>
      <c r="E95" s="274">
        <f t="shared" si="43"/>
        <v>1.2351041204476454</v>
      </c>
      <c r="F95" s="274">
        <f t="shared" si="43"/>
        <v>1.2238471783510785</v>
      </c>
      <c r="G95" s="274">
        <f t="shared" si="43"/>
        <v>1.212684007161879</v>
      </c>
      <c r="H95" s="274">
        <f t="shared" si="43"/>
        <v>1.2016188833531776</v>
      </c>
      <c r="I95" s="274">
        <f t="shared" si="43"/>
        <v>1.1906473142493095</v>
      </c>
      <c r="J95" s="274">
        <f t="shared" si="43"/>
        <v>1.1797692433629583</v>
      </c>
      <c r="K95" s="275">
        <f t="shared" si="43"/>
        <v>1.1689845405255952</v>
      </c>
      <c r="N95" s="3217"/>
      <c r="O95" s="3218"/>
    </row>
    <row r="96" spans="1:15" ht="13.35" customHeight="1">
      <c r="A96" s="435" t="s">
        <v>2634</v>
      </c>
      <c r="B96" s="3230">
        <f>IF('Part III-Sources of Funds'!$I$37="","",-FV('Part III-Sources of Funds'!$K$37/12,12,B83/12,K67))</f>
        <v>406087.0875155871</v>
      </c>
      <c r="C96" s="3230">
        <f>IF('Part III-Sources of Funds'!$I$37="","",-FV('Part III-Sources of Funds'!$K$37/12,12,C83/12,B96))</f>
        <v>371375.52873497934</v>
      </c>
      <c r="D96" s="3230">
        <f>IF('Part III-Sources of Funds'!$I$37="","",-FV('Part III-Sources of Funds'!$K$37/12,12,D83/12,C96))</f>
        <v>334431.25950578798</v>
      </c>
      <c r="E96" s="3230">
        <f>IF('Part III-Sources of Funds'!$I$37="","",-FV('Part III-Sources of Funds'!$K$37/12,12,E83/12,D96))</f>
        <v>295110.66784046951</v>
      </c>
      <c r="F96" s="3230">
        <f>IF('Part III-Sources of Funds'!$I$37="","",-FV('Part III-Sources of Funds'!$K$37/12,12,F83/12,E96))</f>
        <v>253260.90436784245</v>
      </c>
      <c r="G96" s="3230">
        <f>IF('Part III-Sources of Funds'!$I$37="","",-FV('Part III-Sources of Funds'!$K$37/12,12,G83/12,F96))</f>
        <v>208719.28816780951</v>
      </c>
      <c r="H96" s="3230">
        <f>IF('Part III-Sources of Funds'!$I$37="","",-FV('Part III-Sources of Funds'!$K$37/12,12,H83/12,G96))</f>
        <v>161312.67438829094</v>
      </c>
      <c r="I96" s="3230">
        <f>IF('Part III-Sources of Funds'!$I$37="","",-FV('Part III-Sources of Funds'!$K$37/12,12,I83/12,H96))</f>
        <v>110856.78118613135</v>
      </c>
      <c r="J96" s="3230">
        <f>IF('Part III-Sources of Funds'!$I$37="","",-FV('Part III-Sources of Funds'!$K$37/12,12,J83/12,I96))</f>
        <v>57155.473375624715</v>
      </c>
      <c r="K96" s="3230">
        <f>IF('Part III-Sources of Funds'!$I$37="","",-FV('Part III-Sources of Funds'!$K$37/12,12,K83/12,J96))</f>
        <v>1.2179953046143055E-8</v>
      </c>
      <c r="N96" s="3217"/>
      <c r="O96" s="3218"/>
    </row>
    <row r="97" spans="1:15" ht="13.35" customHeight="1">
      <c r="A97" s="435" t="s">
        <v>2635</v>
      </c>
      <c r="B97" s="3226">
        <f>IF('Part III-Sources of Funds'!$I$38="","",-FV('Part III-Sources of Funds'!$K$38/12,12,B84/12,K68))</f>
        <v>438055.74503607699</v>
      </c>
      <c r="C97" s="3226">
        <f>IF('Part III-Sources of Funds'!$I$38="","",-FV('Part III-Sources of Funds'!$K$38/12,12,C84/12,B97))</f>
        <v>393181.79549657583</v>
      </c>
      <c r="D97" s="3226">
        <f>IF('Part III-Sources of Funds'!$I$38="","",-FV('Part III-Sources of Funds'!$K$38/12,12,D84/12,C97))</f>
        <v>347402.09419873561</v>
      </c>
      <c r="E97" s="3226">
        <f>IF('Part III-Sources of Funds'!$I$38="","",-FV('Part III-Sources of Funds'!$K$38/12,12,E84/12,D97))</f>
        <v>300698.35912690684</v>
      </c>
      <c r="F97" s="3226">
        <f>IF('Part III-Sources of Funds'!$I$38="","",-FV('Part III-Sources of Funds'!$K$38/12,12,F84/12,E97))</f>
        <v>253051.93925473368</v>
      </c>
      <c r="G97" s="3226">
        <f>IF('Part III-Sources of Funds'!$I$38="","",-FV('Part III-Sources of Funds'!$K$38/12,12,G84/12,F97))</f>
        <v>204443.80709691037</v>
      </c>
      <c r="H97" s="3226">
        <f>IF('Part III-Sources of Funds'!$I$38="","",-FV('Part III-Sources of Funds'!$K$38/12,12,H84/12,G97))</f>
        <v>154854.55111060012</v>
      </c>
      <c r="I97" s="3226">
        <f>IF('Part III-Sources of Funds'!$I$38="","",-FV('Part III-Sources of Funds'!$K$38/12,12,I84/12,H97))</f>
        <v>104264.36794348115</v>
      </c>
      <c r="J97" s="3226">
        <f>IF('Part III-Sources of Funds'!$I$38="","",-FV('Part III-Sources of Funds'!$K$38/12,12,J84/12,I97))</f>
        <v>52653.054525324696</v>
      </c>
      <c r="K97" s="3226">
        <f>IF('Part III-Sources of Funds'!$I$38="","",-FV('Part III-Sources of Funds'!$K$38/12,12,K84/12,J97))</f>
        <v>-5.3303665481507778E-8</v>
      </c>
      <c r="N97" s="3217"/>
      <c r="O97" s="3218"/>
    </row>
    <row r="98" spans="1:15" ht="13.35" customHeight="1">
      <c r="A98" s="435" t="s">
        <v>2636</v>
      </c>
      <c r="B98" s="3226" t="str">
        <f>IF('Part III-Sources of Funds'!$I$39="","",-FV('Part III-Sources of Funds'!$K$39/12,12,B85/12,K69))</f>
        <v/>
      </c>
      <c r="C98" s="3226" t="str">
        <f>IF('Part III-Sources of Funds'!$I$39="","",-FV('Part III-Sources of Funds'!$K$39/12,12,C85/12,B98))</f>
        <v/>
      </c>
      <c r="D98" s="3226" t="str">
        <f>IF('Part III-Sources of Funds'!$I$39="","",-FV('Part III-Sources of Funds'!$K$39/12,12,D85/12,C98))</f>
        <v/>
      </c>
      <c r="E98" s="3226" t="str">
        <f>IF('Part III-Sources of Funds'!$I$39="","",-FV('Part III-Sources of Funds'!$K$39/12,12,E85/12,D98))</f>
        <v/>
      </c>
      <c r="F98" s="3226" t="str">
        <f>IF('Part III-Sources of Funds'!$I$39="","",-FV('Part III-Sources of Funds'!$K$39/12,12,F85/12,E98))</f>
        <v/>
      </c>
      <c r="G98" s="3226" t="str">
        <f>IF('Part III-Sources of Funds'!$I$39="","",-FV('Part III-Sources of Funds'!$K$39/12,12,G85/12,F98))</f>
        <v/>
      </c>
      <c r="H98" s="3226" t="str">
        <f>IF('Part III-Sources of Funds'!$I$39="","",-FV('Part III-Sources of Funds'!$K$39/12,12,H85/12,G98))</f>
        <v/>
      </c>
      <c r="I98" s="3226" t="str">
        <f>IF('Part III-Sources of Funds'!$I$39="","",-FV('Part III-Sources of Funds'!$K$39/12,12,I85/12,H98))</f>
        <v/>
      </c>
      <c r="J98" s="3226" t="str">
        <f>IF('Part III-Sources of Funds'!$I$39="","",-FV('Part III-Sources of Funds'!$K$39/12,12,J85/12,I98))</f>
        <v/>
      </c>
      <c r="K98" s="3226" t="str">
        <f>IF('Part III-Sources of Funds'!$I$39="","",-FV('Part III-Sources of Funds'!$K$39/12,12,K85/12,J98))</f>
        <v/>
      </c>
      <c r="N98" s="3217"/>
      <c r="O98" s="3218"/>
    </row>
    <row r="99" spans="1:15" ht="13.35" customHeight="1">
      <c r="A99" s="22" t="s">
        <v>792</v>
      </c>
      <c r="B99" s="3229" t="str">
        <f>IF('Part III-Sources of Funds'!$I$40="","",-FV('Part III-Sources of Funds'!$K$40/12,12,B86/12,K70))</f>
        <v/>
      </c>
      <c r="C99" s="3229" t="str">
        <f>IF('Part III-Sources of Funds'!$I$40="","",-FV('Part III-Sources of Funds'!$K$40/12,12,C86/12,B99))</f>
        <v/>
      </c>
      <c r="D99" s="3229" t="str">
        <f>IF('Part III-Sources of Funds'!$I$40="","",-FV('Part III-Sources of Funds'!$K$40/12,12,D86/12,C99))</f>
        <v/>
      </c>
      <c r="E99" s="3229" t="str">
        <f>IF('Part III-Sources of Funds'!$I$40="","",-FV('Part III-Sources of Funds'!$K$40/12,12,E86/12,D99))</f>
        <v/>
      </c>
      <c r="F99" s="3229" t="str">
        <f>IF('Part III-Sources of Funds'!$I$40="","",-FV('Part III-Sources of Funds'!$K$40/12,12,F86/12,E99))</f>
        <v/>
      </c>
      <c r="G99" s="3229" t="str">
        <f>IF('Part III-Sources of Funds'!$I$40="","",-FV('Part III-Sources of Funds'!$K$40/12,12,G86/12,F99))</f>
        <v/>
      </c>
      <c r="H99" s="3229" t="str">
        <f>IF('Part III-Sources of Funds'!$I$40="","",-FV('Part III-Sources of Funds'!$K$40/12,12,H86/12,G99))</f>
        <v/>
      </c>
      <c r="I99" s="3229" t="str">
        <f>IF('Part III-Sources of Funds'!$I$40="","",-FV('Part III-Sources of Funds'!$K$40/12,12,I86/12,H99))</f>
        <v/>
      </c>
      <c r="J99" s="3229" t="str">
        <f>IF('Part III-Sources of Funds'!$I$40="","",-FV('Part III-Sources of Funds'!$K$40/12,12,J86/12,I99))</f>
        <v/>
      </c>
      <c r="K99" s="3229" t="str">
        <f>IF('Part III-Sources of Funds'!$I$40="","",-FV('Part III-Sources of Funds'!$K$40/12,12,K86/12,J99))</f>
        <v/>
      </c>
      <c r="N99" s="3223"/>
      <c r="O99" s="3224"/>
    </row>
    <row r="100" spans="1:15" ht="4.3499999999999996"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3728</v>
      </c>
      <c r="O101" s="1724"/>
    </row>
    <row r="102" spans="1:15" ht="13.35" customHeight="1">
      <c r="A102" s="19" t="s">
        <v>2420</v>
      </c>
      <c r="B102" s="20">
        <f>$B$14*(1+$B$5)^(B101-1)</f>
        <v>787420.61694873695</v>
      </c>
      <c r="C102" s="20">
        <f>$B$14*(1+$B$5)^(C101-1)</f>
        <v>803169.0292877116</v>
      </c>
      <c r="D102" s="20">
        <f>$B$14*(1+$B$5)^(D101-1)</f>
        <v>819232.40987346589</v>
      </c>
      <c r="E102" s="20">
        <f>$B$14*(1+$B$5)^(E101-1)</f>
        <v>835617.05807093531</v>
      </c>
      <c r="F102" s="670">
        <f>$B$14*(1+$B$5)^(F101-1)</f>
        <v>852329.3992323539</v>
      </c>
      <c r="G102" s="18"/>
      <c r="H102" s="18"/>
      <c r="I102" s="18"/>
      <c r="J102" s="18"/>
      <c r="K102" s="18"/>
      <c r="N102" s="3215"/>
      <c r="O102" s="3216"/>
    </row>
    <row r="103" spans="1:15" ht="13.35" customHeight="1">
      <c r="A103" s="22" t="s">
        <v>1026</v>
      </c>
      <c r="B103" s="23">
        <f>$B$15*(1+$B$5)^(B101-1)</f>
        <v>15748.41233897474</v>
      </c>
      <c r="C103" s="23">
        <f>$B$15*(1+$B$5)^(C101-1)</f>
        <v>16063.38058575423</v>
      </c>
      <c r="D103" s="23">
        <f>$B$15*(1+$B$5)^(D101-1)</f>
        <v>16384.64819746932</v>
      </c>
      <c r="E103" s="23">
        <f>$B$15*(1+$B$5)^(E101-1)</f>
        <v>16712.341161418706</v>
      </c>
      <c r="F103" s="24">
        <f>$B$15*(1+$B$5)^(F101-1)</f>
        <v>17046.587984647078</v>
      </c>
      <c r="G103" s="18"/>
      <c r="H103" s="18"/>
      <c r="I103" s="18"/>
      <c r="J103" s="18"/>
      <c r="K103" s="18"/>
      <c r="N103" s="3217"/>
      <c r="O103" s="3218"/>
    </row>
    <row r="104" spans="1:15" ht="13.35" customHeight="1">
      <c r="A104" s="22" t="s">
        <v>2421</v>
      </c>
      <c r="B104" s="23">
        <f>-(B102+B103)*$B$8</f>
        <v>-56221.832050139827</v>
      </c>
      <c r="C104" s="23">
        <f>-(C102+C103)*$B$8</f>
        <v>-57346.268691142606</v>
      </c>
      <c r="D104" s="23">
        <f>-(D102+D103)*$B$8</f>
        <v>-58493.194064965472</v>
      </c>
      <c r="E104" s="23">
        <f>-(E102+E103)*$B$8</f>
        <v>-59663.057946264787</v>
      </c>
      <c r="F104" s="24">
        <f>-(F102+F103)*$B$8</f>
        <v>-60856.319105190072</v>
      </c>
      <c r="G104" s="18"/>
      <c r="H104" s="18"/>
      <c r="I104" s="18"/>
      <c r="J104" s="18"/>
      <c r="K104" s="18"/>
      <c r="N104" s="3217"/>
      <c r="O104" s="3218"/>
    </row>
    <row r="105" spans="1:15" ht="13.3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7"/>
      <c r="O105" s="3218"/>
    </row>
    <row r="106" spans="1:15" ht="13.3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7"/>
      <c r="O106" s="3218"/>
    </row>
    <row r="107" spans="1:15" ht="13.35" customHeight="1">
      <c r="A107" s="22" t="s">
        <v>620</v>
      </c>
      <c r="B107" s="23">
        <f>$B$19*(1+$B$6)^(B101-1)</f>
        <v>-578394.80152225506</v>
      </c>
      <c r="C107" s="23">
        <f>$B$19*(1+$B$6)^(C101-1)</f>
        <v>-595746.64556792285</v>
      </c>
      <c r="D107" s="23">
        <f>$B$19*(1+$B$6)^(D101-1)</f>
        <v>-613619.04493496032</v>
      </c>
      <c r="E107" s="23">
        <f>$B$19*(1+$B$6)^(E101-1)</f>
        <v>-632027.61628300918</v>
      </c>
      <c r="F107" s="24">
        <f>$B$19*(1+$B$6)^(F101-1)</f>
        <v>-650988.44477149937</v>
      </c>
      <c r="G107" s="18"/>
      <c r="H107" s="18"/>
      <c r="I107" s="18"/>
      <c r="J107" s="18"/>
      <c r="K107" s="18"/>
      <c r="N107" s="3217"/>
      <c r="O107" s="3218"/>
    </row>
    <row r="108" spans="1:15" ht="13.35" customHeight="1">
      <c r="A108" s="22" t="s">
        <v>1125</v>
      </c>
      <c r="B108" s="23">
        <f>IF(AND('Part VII-Pro Forma'!$G$8="Yes",'Part VII-Pro Forma'!$G$9="Yes"),"Choose One!",IF('Part VII-Pro Forma'!$G$8="Yes",ROUND((-$K$8*(1+'Part VII-Pro Forma'!$B$6)^('Part VII-Pro Forma'!B101-1)),),IF('Part VII-Pro Forma'!$G$9="Yes",ROUND((-(SUM(B102:B105)*'Part VII-Pro Forma'!$K$9)),),"Choose mgt fee")))</f>
        <v>-37347</v>
      </c>
      <c r="C108" s="23">
        <f>IF(AND('Part VII-Pro Forma'!$G$8="Yes",'Part VII-Pro Forma'!$G$9="Yes"),"Choose One!",IF('Part VII-Pro Forma'!$G$8="Yes",ROUND((-$K$8*(1+'Part VII-Pro Forma'!$B$6)^('Part VII-Pro Forma'!C101-1)),),IF('Part VII-Pro Forma'!$G$9="Yes",ROUND((-(SUM(C102:C105)*'Part VII-Pro Forma'!$K$9)),),"Choose mgt fee")))</f>
        <v>-38094</v>
      </c>
      <c r="D108" s="23">
        <f>IF(AND('Part VII-Pro Forma'!$G$8="Yes",'Part VII-Pro Forma'!$G$9="Yes"),"Choose One!",IF('Part VII-Pro Forma'!$G$8="Yes",ROUND((-$K$8*(1+'Part VII-Pro Forma'!$B$6)^('Part VII-Pro Forma'!D101-1)),),IF('Part VII-Pro Forma'!$G$9="Yes",ROUND((-(SUM(D102:D105)*'Part VII-Pro Forma'!$K$9)),),"Choose mgt fee")))</f>
        <v>-38856</v>
      </c>
      <c r="E108" s="23">
        <f>IF(AND('Part VII-Pro Forma'!$G$8="Yes",'Part VII-Pro Forma'!$G$9="Yes"),"Choose One!",IF('Part VII-Pro Forma'!$G$8="Yes",ROUND((-$K$8*(1+'Part VII-Pro Forma'!$B$6)^('Part VII-Pro Forma'!E101-1)),),IF('Part VII-Pro Forma'!$G$9="Yes",ROUND((-(SUM(E102:E105)*'Part VII-Pro Forma'!$K$9)),),"Choose mgt fee")))</f>
        <v>-39633</v>
      </c>
      <c r="F108" s="24">
        <f>IF(AND('Part VII-Pro Forma'!$G$8="Yes",'Part VII-Pro Forma'!$G$9="Yes"),"Choose One!",IF('Part VII-Pro Forma'!$G$8="Yes",ROUND((-$K$8*(1+'Part VII-Pro Forma'!$B$6)^('Part VII-Pro Forma'!F101-1)),),IF('Part VII-Pro Forma'!$G$9="Yes",ROUND((-(SUM(F102:F105)*'Part VII-Pro Forma'!$K$9)),),"Choose mgt fee")))</f>
        <v>-40426</v>
      </c>
      <c r="G108" s="18"/>
      <c r="H108" s="18"/>
      <c r="I108" s="18"/>
      <c r="J108" s="18"/>
      <c r="K108" s="18"/>
      <c r="N108" s="3217"/>
      <c r="O108" s="3218"/>
    </row>
    <row r="109" spans="1:15" ht="13.35" customHeight="1">
      <c r="A109" s="22" t="s">
        <v>1214</v>
      </c>
      <c r="B109" s="23">
        <f>$B$21*(1+$B$7)^(B101-1)</f>
        <v>-29127.149654275909</v>
      </c>
      <c r="C109" s="23">
        <f>$B$21*(1+$B$7)^(C101-1)</f>
        <v>-30000.964143904192</v>
      </c>
      <c r="D109" s="23">
        <f>$B$21*(1+$B$7)^(D101-1)</f>
        <v>-30900.993068221313</v>
      </c>
      <c r="E109" s="23">
        <f>$B$21*(1+$B$7)^(E101-1)</f>
        <v>-31828.022860267953</v>
      </c>
      <c r="F109" s="24">
        <f>$B$21*(1+$B$7)^(F101-1)</f>
        <v>-32782.863546075983</v>
      </c>
      <c r="G109" s="18"/>
      <c r="H109" s="18"/>
      <c r="I109" s="18"/>
      <c r="J109" s="18"/>
      <c r="K109" s="18"/>
      <c r="N109" s="3217"/>
      <c r="O109" s="3218"/>
    </row>
    <row r="110" spans="1:15" ht="13.35" customHeight="1">
      <c r="A110" s="22" t="s">
        <v>1215</v>
      </c>
      <c r="B110" s="23">
        <f>SUM(B102:B109)</f>
        <v>102078.24606104096</v>
      </c>
      <c r="C110" s="23">
        <f>SUM(C102:C109)</f>
        <v>98044.531470496178</v>
      </c>
      <c r="D110" s="23">
        <f>SUM(D102:D109)</f>
        <v>93747.82600278809</v>
      </c>
      <c r="E110" s="23">
        <f>SUM(E102:E109)</f>
        <v>89177.702142812137</v>
      </c>
      <c r="F110" s="24">
        <f>SUM(F102:F109)</f>
        <v>84322.359794235454</v>
      </c>
      <c r="G110" s="18"/>
      <c r="H110" s="18"/>
      <c r="I110" s="18"/>
      <c r="J110" s="18"/>
      <c r="K110" s="18"/>
      <c r="N110" s="3217"/>
      <c r="O110" s="3218"/>
    </row>
    <row r="111" spans="1:15" ht="13.35" customHeight="1">
      <c r="A111" s="22" t="str">
        <f>$A83</f>
        <v>Mortgage A</v>
      </c>
      <c r="B111" s="3225">
        <f>IF('Part III-Sources of Funds'!$N$37="", 0,-'Part III-Sources of Funds'!$N$37)</f>
        <v>-59108.851240933596</v>
      </c>
      <c r="C111" s="3225">
        <f>IF('Part III-Sources of Funds'!$N$37="", 0,-'Part III-Sources of Funds'!$N$37)</f>
        <v>-59108.851240933596</v>
      </c>
      <c r="D111" s="3225">
        <f>IF('Part III-Sources of Funds'!$N$37="", 0,-'Part III-Sources of Funds'!$N$37)</f>
        <v>-59108.851240933596</v>
      </c>
      <c r="E111" s="3225">
        <f>IF('Part III-Sources of Funds'!$N$37="", 0,-'Part III-Sources of Funds'!$N$37)</f>
        <v>-59108.851240933596</v>
      </c>
      <c r="F111" s="3225">
        <f>IF('Part III-Sources of Funds'!$N$37="", 0,-'Part III-Sources of Funds'!$N$37)</f>
        <v>-59108.851240933596</v>
      </c>
      <c r="G111" s="18"/>
      <c r="H111" s="18"/>
      <c r="I111" s="18"/>
      <c r="J111" s="18"/>
      <c r="K111" s="18"/>
      <c r="N111" s="3217"/>
      <c r="O111" s="3218"/>
    </row>
    <row r="112" spans="1:15" ht="13.35" customHeight="1">
      <c r="A112" s="22" t="str">
        <f>$A84</f>
        <v>Mortgage B</v>
      </c>
      <c r="B112" s="3226">
        <f>IF('Part III-Sources of Funds'!$N$38="", 0,-'Part III-Sources of Funds'!$N$38)</f>
        <v>-53225.204067190156</v>
      </c>
      <c r="C112" s="3226">
        <f>IF('Part III-Sources of Funds'!$N$38="", 0,-'Part III-Sources of Funds'!$N$38)</f>
        <v>-53225.204067190156</v>
      </c>
      <c r="D112" s="3226">
        <f>IF('Part III-Sources of Funds'!$N$38="", 0,-'Part III-Sources of Funds'!$N$38)</f>
        <v>-53225.204067190156</v>
      </c>
      <c r="E112" s="3226">
        <f>IF('Part III-Sources of Funds'!$N$38="", 0,-'Part III-Sources of Funds'!$N$38)</f>
        <v>-53225.204067190156</v>
      </c>
      <c r="F112" s="3226">
        <f>IF('Part III-Sources of Funds'!$N$38="", 0,-'Part III-Sources of Funds'!$N$38)</f>
        <v>-53225.204067190156</v>
      </c>
      <c r="G112" s="18"/>
      <c r="H112" s="18"/>
      <c r="I112" s="18"/>
      <c r="J112" s="18"/>
      <c r="K112" s="18"/>
      <c r="N112" s="3217"/>
      <c r="O112" s="3218"/>
    </row>
    <row r="113" spans="1:15" ht="13.35" customHeight="1">
      <c r="A113" s="22" t="str">
        <f>$A85</f>
        <v>Mortgage C</v>
      </c>
      <c r="B113" s="3226">
        <f>IF('Part III-Sources of Funds'!$N$39="", 0,-'Part III-Sources of Funds'!$N$39)</f>
        <v>0</v>
      </c>
      <c r="C113" s="3226">
        <f>IF('Part III-Sources of Funds'!$N$39="", 0,-'Part III-Sources of Funds'!$N$39)</f>
        <v>0</v>
      </c>
      <c r="D113" s="3226">
        <f>IF('Part III-Sources of Funds'!$N$39="", 0,-'Part III-Sources of Funds'!$N$39)</f>
        <v>0</v>
      </c>
      <c r="E113" s="3226">
        <f>IF('Part III-Sources of Funds'!$N$39="", 0,-'Part III-Sources of Funds'!$N$39)</f>
        <v>0</v>
      </c>
      <c r="F113" s="3226">
        <f>IF('Part III-Sources of Funds'!$N$39="", 0,-'Part III-Sources of Funds'!$N$39)</f>
        <v>0</v>
      </c>
      <c r="G113" s="18"/>
      <c r="H113" s="18"/>
      <c r="I113" s="18"/>
      <c r="J113" s="18"/>
      <c r="K113" s="18"/>
      <c r="N113" s="3217"/>
      <c r="O113" s="3218"/>
    </row>
    <row r="114" spans="1:15" ht="13.35" customHeight="1">
      <c r="A114" s="22" t="str">
        <f>$A86</f>
        <v>D/S Other Source,not DDF</v>
      </c>
      <c r="B114" s="3226">
        <f>IF('Part III-Sources of Funds'!$N$40="", 0,-'Part III-Sources of Funds'!$N$40)</f>
        <v>0</v>
      </c>
      <c r="C114" s="3226">
        <f>IF('Part III-Sources of Funds'!$N$40="", 0,-'Part III-Sources of Funds'!$N$40)</f>
        <v>0</v>
      </c>
      <c r="D114" s="3226">
        <f>IF('Part III-Sources of Funds'!$N$40="", 0,-'Part III-Sources of Funds'!$N$40)</f>
        <v>0</v>
      </c>
      <c r="E114" s="3226">
        <f>IF('Part III-Sources of Funds'!$N$40="", 0,-'Part III-Sources of Funds'!$N$40)</f>
        <v>0</v>
      </c>
      <c r="F114" s="3226">
        <f>IF('Part III-Sources of Funds'!$N$40="", 0,-'Part III-Sources of Funds'!$N$40)</f>
        <v>0</v>
      </c>
      <c r="G114" s="18"/>
      <c r="H114" s="18"/>
      <c r="I114" s="18"/>
      <c r="J114" s="18"/>
      <c r="K114" s="18"/>
      <c r="N114" s="3217"/>
      <c r="O114" s="3218"/>
    </row>
    <row r="115" spans="1:15" ht="13.35" customHeight="1">
      <c r="A115" s="22" t="s">
        <v>771</v>
      </c>
      <c r="B115" s="3227"/>
      <c r="C115" s="3227"/>
      <c r="D115" s="3227"/>
      <c r="E115" s="3227"/>
      <c r="F115" s="3227"/>
      <c r="G115" s="18"/>
      <c r="H115" s="18"/>
      <c r="I115" s="18"/>
      <c r="J115" s="18"/>
      <c r="K115" s="18"/>
      <c r="N115" s="3217"/>
      <c r="O115" s="3218"/>
    </row>
    <row r="116" spans="1:15" ht="13.35" customHeight="1">
      <c r="A116" s="22" t="s">
        <v>1174</v>
      </c>
      <c r="B116" s="3229">
        <f>+K88</f>
        <v>-9457.9127343335094</v>
      </c>
      <c r="C116" s="3229">
        <f>+B116</f>
        <v>-9457.9127343335094</v>
      </c>
      <c r="D116" s="3229">
        <f>+C116</f>
        <v>-9457.9127343335094</v>
      </c>
      <c r="E116" s="3229">
        <f>+D116</f>
        <v>-9457.9127343335094</v>
      </c>
      <c r="F116" s="3229">
        <f>+E116</f>
        <v>-9457.9127343335094</v>
      </c>
      <c r="G116" s="18"/>
      <c r="H116" s="18"/>
      <c r="I116" s="18"/>
      <c r="J116" s="18"/>
      <c r="K116" s="18"/>
      <c r="N116" s="3217"/>
      <c r="O116" s="3218"/>
    </row>
    <row r="117" spans="1:15" ht="13.35" customHeight="1">
      <c r="A117" s="22" t="s">
        <v>1175</v>
      </c>
      <c r="B117" s="23">
        <f>SUM(B110:B116)</f>
        <v>-19713.7219814163</v>
      </c>
      <c r="C117" s="23">
        <f>SUM(C110:C116)</f>
        <v>-23747.436571961083</v>
      </c>
      <c r="D117" s="23">
        <f>SUM(D110:D116)</f>
        <v>-28044.142039669172</v>
      </c>
      <c r="E117" s="23">
        <f>SUM(E110:E116)</f>
        <v>-32614.265899645125</v>
      </c>
      <c r="F117" s="24">
        <f>SUM(F110:F116)</f>
        <v>-37469.608248221804</v>
      </c>
      <c r="G117" s="18"/>
      <c r="H117" s="18"/>
      <c r="I117" s="18"/>
      <c r="J117" s="18"/>
      <c r="K117" s="18"/>
      <c r="N117" s="3217"/>
      <c r="O117" s="3218"/>
    </row>
    <row r="118" spans="1:15" ht="13.35" customHeight="1">
      <c r="A118" s="22" t="str">
        <f>$A90</f>
        <v>DCR Mortgage A</v>
      </c>
      <c r="B118" s="25">
        <f>IF(B111=0,"",-B110/B111)</f>
        <v>1.7269536443020996</v>
      </c>
      <c r="C118" s="25">
        <f>IF(C111=0,"",-C110/C111)</f>
        <v>1.6587115027977257</v>
      </c>
      <c r="D118" s="25">
        <f>IF(D111=0,"",-D110/D111)</f>
        <v>1.5860200974074519</v>
      </c>
      <c r="E118" s="25">
        <f>IF(E111=0,"",-E110/E111)</f>
        <v>1.5087030160561723</v>
      </c>
      <c r="F118" s="26">
        <f>IF(F111=0,"",-F110/F111)</f>
        <v>1.4265606254218861</v>
      </c>
      <c r="G118" s="18"/>
      <c r="H118" s="18"/>
      <c r="I118" s="18"/>
      <c r="J118" s="18"/>
      <c r="K118" s="18"/>
      <c r="N118" s="3217"/>
      <c r="O118" s="3218"/>
    </row>
    <row r="119" spans="1:15" ht="13.35" customHeight="1">
      <c r="A119" s="22" t="str">
        <f>$A91</f>
        <v>DCR Mortgage B</v>
      </c>
      <c r="B119" s="25">
        <f>IF(B112=0,"",-(B110+B111)/B112)</f>
        <v>0.80731291825323737</v>
      </c>
      <c r="C119" s="25">
        <f>IF(C112=0,"",-(C110+C111)/C112)</f>
        <v>0.73152711975347551</v>
      </c>
      <c r="D119" s="25">
        <f>IF(D112=0,"",-(D110+D111)/D112)</f>
        <v>0.6508002246102641</v>
      </c>
      <c r="E119" s="25">
        <f>IF(E112=0,"",-(E110+E111)/E112)</f>
        <v>0.56493631971650837</v>
      </c>
      <c r="F119" s="26">
        <f>IF(F112=0,"",-(F110+F111)/F112)</f>
        <v>0.4737137037835113</v>
      </c>
      <c r="G119" s="18"/>
      <c r="H119" s="18"/>
      <c r="I119" s="18"/>
      <c r="J119" s="18"/>
      <c r="K119" s="18"/>
      <c r="N119" s="3217"/>
      <c r="O119" s="3218"/>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7"/>
      <c r="O120" s="3218"/>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7"/>
      <c r="O121" s="3218"/>
    </row>
    <row r="122" spans="1:15" ht="13.35" customHeight="1">
      <c r="A122" s="435" t="s">
        <v>3738</v>
      </c>
      <c r="B122" s="25">
        <f>IF(AND(B111=0,B112=0,B113=0,B114=0),"",-B110/(B111+B112+B113+B114))</f>
        <v>0.90870258160847217</v>
      </c>
      <c r="C122" s="25">
        <f>IF(AND(C111=0,C112=0,C113=0,C114=0),"",-C110/(C111+C112+C113+C114))</f>
        <v>0.87279437390172998</v>
      </c>
      <c r="D122" s="25">
        <f>IF(AND(D111=0,D112=0,D113=0,D114=0),"",-D110/(D111+D112+D113+D114))</f>
        <v>0.83454501616313004</v>
      </c>
      <c r="E122" s="25">
        <f>IF(AND(E111=0,E112=0,E113=0,E114=0),"",-E110/(E111+E112+E113+E114))</f>
        <v>0.79386168244531452</v>
      </c>
      <c r="F122" s="26">
        <f>IF(AND(F111=0,F112=0,F113=0,F114=0),"",-F110/(F111+F112+F113+F114))</f>
        <v>0.75063932805546496</v>
      </c>
      <c r="G122" s="18"/>
      <c r="H122" s="18"/>
      <c r="I122" s="18"/>
      <c r="J122" s="18"/>
      <c r="K122" s="18"/>
      <c r="N122" s="3217"/>
      <c r="O122" s="3218"/>
    </row>
    <row r="123" spans="1:15" ht="13.35" customHeight="1">
      <c r="A123" s="22" t="s">
        <v>778</v>
      </c>
      <c r="B123" s="274">
        <f>IF(OR(B108="Choose mgt fee",B108="Choose One!"),"",(B102+B103+B104+B105+B106) / -(B107+B108+B109))</f>
        <v>1.1582930080209388</v>
      </c>
      <c r="C123" s="274">
        <f>IF(OR(C108="Choose mgt fee",C108="Choose One!"),"",(C102+C103+C104+C105+C106) / -(C107+C108+C109))</f>
        <v>1.1476926574594462</v>
      </c>
      <c r="D123" s="274">
        <f>IF(OR(D108="Choose mgt fee",D108="Choose One!"),"",(D102+D103+D104+D105+D106) / -(D107+D108+D109))</f>
        <v>1.1371833672668981</v>
      </c>
      <c r="E123" s="274">
        <f>IF(OR(E108="Choose mgt fee",E108="Choose One!"),"",(E102+E103+E104+E105+E106) / -(E107+E108+E109))</f>
        <v>1.1267649499662349</v>
      </c>
      <c r="F123" s="671">
        <f>IF(OR(F108="Choose mgt fee",F108="Choose One!"),"",(F102+F103+F104+F105+F106) / -(F107+F108+F109))</f>
        <v>1.116435616130816</v>
      </c>
      <c r="G123" s="18"/>
      <c r="H123" s="18"/>
      <c r="I123" s="18"/>
      <c r="J123" s="18"/>
      <c r="K123" s="18"/>
      <c r="N123" s="3217"/>
      <c r="O123" s="3218"/>
    </row>
    <row r="124" spans="1:15" ht="13.35" customHeight="1">
      <c r="A124" s="435" t="s">
        <v>2634</v>
      </c>
      <c r="B124" s="3230">
        <f>IF('Part III-Sources of Funds'!$I$37="","",-FV('Part III-Sources of Funds'!$K$37/12,12,B111/12,K96))</f>
        <v>-60831.817137804625</v>
      </c>
      <c r="C124" s="3230">
        <f>IF('Part III-Sources of Funds'!$I$37="","",-FV('Part III-Sources of Funds'!$K$37/12,12,C111/12,B124))</f>
        <v>-125576.44713972742</v>
      </c>
      <c r="D124" s="3230">
        <f>IF('Part III-Sources of Funds'!$I$37="","",-FV('Part III-Sources of Funds'!$K$37/12,12,D111/12,C124))</f>
        <v>-194485.56922939056</v>
      </c>
      <c r="E124" s="3230">
        <f>IF('Part III-Sources of Funds'!$I$37="","",-FV('Part III-Sources of Funds'!$K$37/12,12,E111/12,D124))</f>
        <v>-267827.05109479127</v>
      </c>
      <c r="F124" s="3230">
        <f>IF('Part III-Sources of Funds'!$I$37="","",-FV('Part III-Sources of Funds'!$K$37/12,12,F111/12,E124))</f>
        <v>-345885.99015969317</v>
      </c>
      <c r="G124" s="18"/>
      <c r="H124" s="18"/>
      <c r="I124" s="18"/>
      <c r="J124" s="18"/>
      <c r="K124" s="18"/>
      <c r="N124" s="3217"/>
      <c r="O124" s="3218"/>
    </row>
    <row r="125" spans="1:15" ht="13.35" customHeight="1">
      <c r="A125" s="435" t="s">
        <v>2635</v>
      </c>
      <c r="B125" s="3226">
        <f>IF('Part III-Sources of Funds'!$I$38="","",-FV('Part III-Sources of Funds'!$K$38/12,12,B112/12,K97))</f>
        <v>-53715.822505689051</v>
      </c>
      <c r="C125" s="3226">
        <f>IF('Part III-Sources of Funds'!$I$38="","",-FV('Part III-Sources of Funds'!$K$38/12,12,C112/12,B125))</f>
        <v>-108515.86427850298</v>
      </c>
      <c r="D125" s="3226">
        <f>IF('Part III-Sources of Funds'!$I$38="","",-FV('Part III-Sources of Funds'!$K$38/12,12,D112/12,C125))</f>
        <v>-164422.00958582055</v>
      </c>
      <c r="E125" s="3226">
        <f>IF('Part III-Sources of Funds'!$I$38="","",-FV('Part III-Sources of Funds'!$K$38/12,12,E112/12,D125))</f>
        <v>-221456.58441480272</v>
      </c>
      <c r="F125" s="3226">
        <f>IF('Part III-Sources of Funds'!$I$38="","",-FV('Part III-Sources of Funds'!$K$38/12,12,F112/12,E125))</f>
        <v>-279642.36538827635</v>
      </c>
      <c r="G125" s="18"/>
      <c r="H125" s="18"/>
      <c r="I125" s="18"/>
      <c r="J125" s="18"/>
      <c r="K125" s="18"/>
      <c r="N125" s="3217"/>
      <c r="O125" s="3218"/>
    </row>
    <row r="126" spans="1:15" ht="13.35" customHeight="1">
      <c r="A126" s="435" t="s">
        <v>2636</v>
      </c>
      <c r="B126" s="3226" t="str">
        <f>IF('Part III-Sources of Funds'!$I$39="","",-FV('Part III-Sources of Funds'!$K$39/12,12,B113/12,K98))</f>
        <v/>
      </c>
      <c r="C126" s="3226" t="str">
        <f>IF('Part III-Sources of Funds'!$I$39="","",-FV('Part III-Sources of Funds'!$K$39/12,12,C113/12,B126))</f>
        <v/>
      </c>
      <c r="D126" s="3226" t="str">
        <f>IF('Part III-Sources of Funds'!$I$39="","",-FV('Part III-Sources of Funds'!$K$39/12,12,D113/12,C126))</f>
        <v/>
      </c>
      <c r="E126" s="3226" t="str">
        <f>IF('Part III-Sources of Funds'!$I$39="","",-FV('Part III-Sources of Funds'!$K$39/12,12,E113/12,D126))</f>
        <v/>
      </c>
      <c r="F126" s="3226" t="str">
        <f>IF('Part III-Sources of Funds'!$I$39="","",-FV('Part III-Sources of Funds'!$K$39/12,12,F113/12,E126))</f>
        <v/>
      </c>
      <c r="G126" s="18"/>
      <c r="H126" s="18"/>
      <c r="I126" s="18"/>
      <c r="J126" s="18"/>
      <c r="K126" s="18"/>
      <c r="N126" s="3217"/>
      <c r="O126" s="3218"/>
    </row>
    <row r="127" spans="1:15" ht="13.35" customHeight="1">
      <c r="A127" s="27" t="s">
        <v>792</v>
      </c>
      <c r="B127" s="3229" t="str">
        <f>IF('Part III-Sources of Funds'!$I$40="","",-FV('Part III-Sources of Funds'!$K$40/12,12,B114/12,K99))</f>
        <v/>
      </c>
      <c r="C127" s="3229" t="str">
        <f>IF('Part III-Sources of Funds'!$I$40="","",-FV('Part III-Sources of Funds'!$K$40/12,12,C114/12,B127))</f>
        <v/>
      </c>
      <c r="D127" s="3229" t="str">
        <f>IF('Part III-Sources of Funds'!$I$40="","",-FV('Part III-Sources of Funds'!$K$40/12,12,D114/12,C127))</f>
        <v/>
      </c>
      <c r="E127" s="3229" t="str">
        <f>IF('Part III-Sources of Funds'!$I$40="","",-FV('Part III-Sources of Funds'!$K$40/12,12,E114/12,D127))</f>
        <v/>
      </c>
      <c r="F127" s="3229" t="str">
        <f>IF('Part III-Sources of Funds'!$I$40="","",-FV('Part III-Sources of Funds'!$K$40/12,12,F114/12,E127))</f>
        <v/>
      </c>
      <c r="G127" s="18"/>
      <c r="H127" s="18"/>
      <c r="I127" s="18"/>
      <c r="J127" s="18"/>
      <c r="K127" s="18"/>
      <c r="N127" s="3223"/>
      <c r="O127" s="3224"/>
    </row>
    <row r="128" spans="1:15" ht="4.3499999999999996" customHeight="1"/>
    <row r="129" spans="1:18" ht="12" customHeight="1">
      <c r="A129" s="14" t="s">
        <v>576</v>
      </c>
      <c r="B129" s="14"/>
      <c r="G129" s="14" t="s">
        <v>1041</v>
      </c>
    </row>
    <row r="130" spans="1:18" ht="12" customHeight="1">
      <c r="B130" s="32"/>
    </row>
    <row r="131" spans="1:18" ht="409.5" customHeight="1">
      <c r="A131" s="3231" t="s">
        <v>4708</v>
      </c>
      <c r="B131" s="3232"/>
      <c r="C131" s="3232"/>
      <c r="D131" s="3232"/>
      <c r="E131" s="3232"/>
      <c r="F131" s="3233"/>
      <c r="G131" s="3234"/>
      <c r="H131" s="3235"/>
      <c r="I131" s="3235"/>
      <c r="J131" s="3235"/>
      <c r="K131" s="3236"/>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rynCtkKHvJB4aHq3v2VH8c4jXfImInTu28Ci5GQJimHa5AJXIPVA1D9KVrQxS3SP7HuDXKzJwlx3QZ4XXzD5IA==" saltValue="m7vPJVm8kCpcuOaBSquKg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57" zoomScale="125" zoomScaleNormal="125" zoomScalePageLayoutView="125" workbookViewId="0">
      <selection sqref="A1:XFD1048576"/>
    </sheetView>
  </sheetViews>
  <sheetFormatPr defaultColWidth="9.140625" defaultRowHeight="12.75"/>
  <cols>
    <col min="1" max="1" width="5.28515625"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4.1" customHeight="1">
      <c r="A1" s="1737" t="str">
        <f>CONCATENATE("PART EIGHT - THRESHOLD CRITERIA","  -  ",'Part I-Project Information'!$O$6," ",'Part I-Project Information'!$F$34,", ",'Part I-Project Information'!F38,", ",'Part I-Project Information'!J39," County")</f>
        <v>PART EIGHT - THRESHOLD CRITERIA  -  2018-046 Abbington on Cheshire Bridge, Atlanta, Fulton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1.1"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3873</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4.1"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8.75" customHeight="1">
      <c r="A32" s="3111" t="s">
        <v>4727</v>
      </c>
      <c r="B32" s="3112"/>
      <c r="C32" s="3112"/>
      <c r="D32" s="3112"/>
      <c r="E32" s="3112"/>
      <c r="F32" s="3112"/>
      <c r="G32" s="3112"/>
      <c r="H32" s="3112"/>
      <c r="I32" s="3112"/>
      <c r="J32" s="3112"/>
      <c r="K32" s="3112"/>
      <c r="L32" s="3112"/>
      <c r="M32" s="3112"/>
      <c r="N32" s="3112"/>
      <c r="O32" s="3112"/>
      <c r="P32" s="3112"/>
      <c r="Q32" s="3113"/>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2734</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2754</v>
      </c>
      <c r="Q38" s="2998"/>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2733</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3921</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11919387</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2789</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6</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6 units = </v>
      </c>
      <c r="I63" s="906">
        <f>F63*G63</f>
        <v>960774</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11941094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8</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8 units = </v>
      </c>
      <c r="I64" s="906">
        <f>F64*G64</f>
        <v>1647048</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34</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34 units = </v>
      </c>
      <c r="I65" s="906">
        <f>F65*G65</f>
        <v>9333272</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4295</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48</v>
      </c>
      <c r="G67" s="659"/>
      <c r="H67" s="1199"/>
      <c r="I67" s="1202">
        <f>SUM(I62:I66)</f>
        <v>11941094</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48</v>
      </c>
      <c r="G69" s="346"/>
      <c r="H69" s="1951">
        <f>I46+I53+I60+I67</f>
        <v>11941094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1880</v>
      </c>
      <c r="L70" s="1585"/>
      <c r="M70" s="1585"/>
      <c r="N70" s="1585"/>
      <c r="O70" s="1585"/>
      <c r="P70" s="1585"/>
      <c r="Q70" s="955"/>
    </row>
    <row r="71" spans="1:295" ht="35.1" customHeight="1">
      <c r="A71" s="3111" t="s">
        <v>4711</v>
      </c>
      <c r="B71" s="3112"/>
      <c r="C71" s="3112"/>
      <c r="D71" s="3112"/>
      <c r="E71" s="3112"/>
      <c r="F71" s="3112"/>
      <c r="G71" s="3112"/>
      <c r="H71" s="3112"/>
      <c r="I71" s="3112"/>
      <c r="J71" s="3113"/>
      <c r="K71" s="1894"/>
      <c r="L71" s="1895"/>
      <c r="M71" s="1895"/>
      <c r="N71" s="1895"/>
      <c r="O71" s="1895"/>
      <c r="P71" s="1895"/>
      <c r="Q71" s="1896"/>
      <c r="R71" s="461" t="s">
        <v>1266</v>
      </c>
      <c r="U71" s="140"/>
      <c r="V71" s="140"/>
      <c r="W71" s="140"/>
      <c r="X71" s="140"/>
      <c r="Y71" s="140"/>
      <c r="Z71" s="140"/>
      <c r="AA71" s="140"/>
      <c r="AB71" s="140"/>
      <c r="AC71" s="140"/>
      <c r="AD71" s="140"/>
      <c r="AE71" s="486"/>
    </row>
    <row r="72" spans="1:295" ht="14.1"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4" t="str">
        <f>'Part I-Project Information'!$H$78</f>
        <v>Family</v>
      </c>
      <c r="K73" s="3115"/>
      <c r="L73" s="3116"/>
      <c r="O73" s="136" t="s">
        <v>1881</v>
      </c>
      <c r="P73" s="1897"/>
      <c r="Q73" s="1904"/>
    </row>
    <row r="74" spans="1:295" ht="10.5" customHeight="1">
      <c r="B74" s="98" t="s">
        <v>3779</v>
      </c>
      <c r="D74" s="98"/>
      <c r="E74" s="98"/>
      <c r="F74" s="98"/>
      <c r="G74" s="98"/>
      <c r="H74" s="41"/>
      <c r="I74" s="1589"/>
      <c r="J74" s="1589"/>
      <c r="K74" s="141" t="s">
        <v>1880</v>
      </c>
      <c r="L74" s="1585"/>
      <c r="M74" s="1585"/>
      <c r="N74" s="1585"/>
      <c r="O74" s="1585"/>
      <c r="P74" s="1585"/>
      <c r="Q74" s="955"/>
    </row>
    <row r="75" spans="1:295" ht="10.5" customHeight="1">
      <c r="A75" s="3111" t="s">
        <v>4625</v>
      </c>
      <c r="B75" s="3112"/>
      <c r="C75" s="3112"/>
      <c r="D75" s="3112"/>
      <c r="E75" s="3112"/>
      <c r="F75" s="3112"/>
      <c r="G75" s="3112"/>
      <c r="H75" s="3112"/>
      <c r="I75" s="3112"/>
      <c r="J75" s="3113"/>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3768</v>
      </c>
      <c r="D79" s="1003"/>
      <c r="E79" s="1003"/>
      <c r="F79" s="1003"/>
      <c r="G79" s="1003"/>
      <c r="H79" s="1003"/>
      <c r="I79" s="1003"/>
      <c r="K79" s="1003"/>
      <c r="L79" s="1003"/>
      <c r="M79" s="1004" t="s">
        <v>3722</v>
      </c>
      <c r="O79" s="147"/>
      <c r="P79" s="2998" t="s">
        <v>4629</v>
      </c>
    </row>
    <row r="80" spans="1:295" ht="10.5" customHeight="1">
      <c r="A80" s="48" t="s">
        <v>2001</v>
      </c>
      <c r="B80" s="956" t="s">
        <v>3767</v>
      </c>
      <c r="D80" s="956"/>
      <c r="E80" s="956"/>
      <c r="F80" s="956"/>
      <c r="G80" s="956"/>
      <c r="H80" s="956"/>
      <c r="I80" s="956"/>
      <c r="J80" s="956"/>
      <c r="K80" s="956"/>
      <c r="L80" s="956"/>
      <c r="M80" s="956"/>
      <c r="O80" s="956"/>
      <c r="P80" s="956"/>
      <c r="Q80" s="956"/>
    </row>
    <row r="81" spans="1:31" ht="11.1" customHeight="1">
      <c r="A81" s="148"/>
      <c r="B81" s="68" t="s">
        <v>1750</v>
      </c>
      <c r="C81" s="956" t="s">
        <v>3507</v>
      </c>
      <c r="E81" s="1594"/>
      <c r="F81" s="1594"/>
      <c r="G81" s="1594"/>
      <c r="H81" s="34"/>
      <c r="I81" s="37" t="s">
        <v>2724</v>
      </c>
      <c r="J81" s="3117" t="s">
        <v>4626</v>
      </c>
      <c r="K81" s="3118"/>
      <c r="L81" s="3118"/>
      <c r="M81" s="3118"/>
      <c r="N81" s="3118"/>
      <c r="O81" s="3118"/>
      <c r="P81" s="3118"/>
      <c r="Q81" s="3119"/>
    </row>
    <row r="82" spans="1:31" ht="11.1" customHeight="1">
      <c r="A82" s="148"/>
      <c r="B82" s="68" t="s">
        <v>1751</v>
      </c>
      <c r="C82" s="956" t="s">
        <v>3605</v>
      </c>
      <c r="E82" s="1594"/>
      <c r="F82" s="1594"/>
      <c r="G82" s="1594"/>
      <c r="H82" s="34"/>
      <c r="I82" s="37" t="s">
        <v>2724</v>
      </c>
      <c r="J82" s="3120" t="s">
        <v>4627</v>
      </c>
      <c r="K82" s="3121"/>
      <c r="L82" s="3121"/>
      <c r="M82" s="3121"/>
      <c r="N82" s="3121"/>
      <c r="O82" s="3121"/>
      <c r="P82" s="3121"/>
      <c r="Q82" s="3122"/>
    </row>
    <row r="83" spans="1:31" ht="11.1" customHeight="1">
      <c r="A83" s="148"/>
      <c r="B83" s="68" t="s">
        <v>1752</v>
      </c>
      <c r="C83" s="956" t="s">
        <v>3606</v>
      </c>
      <c r="E83" s="1594"/>
      <c r="F83" s="1594"/>
      <c r="G83" s="1594"/>
      <c r="H83" s="34"/>
      <c r="I83" s="37" t="s">
        <v>2724</v>
      </c>
      <c r="J83" s="3120" t="s">
        <v>4692</v>
      </c>
      <c r="K83" s="3121"/>
      <c r="L83" s="3121"/>
      <c r="M83" s="3121"/>
      <c r="N83" s="3121"/>
      <c r="O83" s="3121"/>
      <c r="P83" s="3121"/>
      <c r="Q83" s="3122"/>
    </row>
    <row r="84" spans="1:31" ht="11.1" customHeight="1">
      <c r="A84" s="148"/>
      <c r="B84" s="484" t="s">
        <v>2381</v>
      </c>
      <c r="C84" s="956" t="s">
        <v>3932</v>
      </c>
      <c r="E84" s="1594"/>
      <c r="I84" s="37" t="s">
        <v>2724</v>
      </c>
      <c r="J84" s="3123"/>
      <c r="K84" s="3124"/>
      <c r="L84" s="3124"/>
      <c r="M84" s="3124"/>
      <c r="N84" s="3124"/>
      <c r="O84" s="3124"/>
      <c r="P84" s="3124"/>
      <c r="Q84" s="3125"/>
    </row>
    <row r="85" spans="1:31" ht="11.1" customHeight="1">
      <c r="A85" s="48" t="s">
        <v>757</v>
      </c>
      <c r="B85" s="41" t="s">
        <v>3591</v>
      </c>
      <c r="D85" s="956"/>
      <c r="E85" s="1594"/>
      <c r="J85" s="37"/>
      <c r="K85" s="37"/>
      <c r="L85" s="37"/>
      <c r="M85" s="37"/>
      <c r="N85" s="37"/>
      <c r="O85" s="37"/>
      <c r="P85" s="37"/>
      <c r="Q85" s="37"/>
    </row>
    <row r="86" spans="1:31" ht="11.1" customHeight="1">
      <c r="A86" s="148"/>
      <c r="B86" s="56" t="s">
        <v>3923</v>
      </c>
      <c r="D86" s="138"/>
      <c r="E86" s="138"/>
      <c r="F86" s="138"/>
      <c r="G86" s="138"/>
      <c r="H86" s="138"/>
      <c r="I86" s="43"/>
      <c r="J86" s="43"/>
      <c r="K86" s="484" t="s">
        <v>757</v>
      </c>
      <c r="L86" s="3126"/>
      <c r="M86" s="3127"/>
      <c r="N86" s="3127"/>
      <c r="O86" s="3127"/>
      <c r="P86" s="3128"/>
      <c r="Q86" s="560"/>
    </row>
    <row r="87" spans="1:31" ht="10.5" customHeight="1">
      <c r="B87" s="98" t="s">
        <v>3779</v>
      </c>
      <c r="D87" s="98"/>
      <c r="E87" s="98"/>
      <c r="F87" s="98"/>
      <c r="G87" s="98"/>
      <c r="H87" s="41"/>
      <c r="I87" s="1589"/>
      <c r="J87" s="1589"/>
      <c r="K87" s="141" t="s">
        <v>1880</v>
      </c>
      <c r="L87" s="1585"/>
      <c r="M87" s="1585"/>
      <c r="N87" s="1585"/>
      <c r="O87" s="1585"/>
      <c r="P87" s="1585"/>
      <c r="Q87" s="955"/>
    </row>
    <row r="88" spans="1:31" ht="21.95" customHeight="1">
      <c r="A88" s="3111" t="s">
        <v>4693</v>
      </c>
      <c r="B88" s="3112"/>
      <c r="C88" s="3112"/>
      <c r="D88" s="3112"/>
      <c r="E88" s="3112"/>
      <c r="F88" s="3112"/>
      <c r="G88" s="3112"/>
      <c r="H88" s="3112"/>
      <c r="I88" s="3112"/>
      <c r="J88" s="3113"/>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4.1"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29" t="s">
        <v>4628</v>
      </c>
      <c r="N92" s="3130"/>
      <c r="O92" s="3130"/>
      <c r="P92" s="3131"/>
      <c r="Q92" s="561"/>
    </row>
    <row r="93" spans="1:31" ht="10.5" customHeight="1">
      <c r="A93" s="48" t="s">
        <v>2001</v>
      </c>
      <c r="B93" s="53" t="s">
        <v>2052</v>
      </c>
      <c r="D93" s="138"/>
      <c r="E93" s="138"/>
      <c r="F93" s="138"/>
      <c r="L93" s="484" t="s">
        <v>2001</v>
      </c>
      <c r="M93" s="3132" t="s">
        <v>4675</v>
      </c>
      <c r="N93" s="3133"/>
      <c r="O93" s="3133"/>
      <c r="P93" s="3134"/>
      <c r="Q93" s="562"/>
    </row>
    <row r="94" spans="1:31" ht="10.5" customHeight="1">
      <c r="A94" s="48" t="s">
        <v>757</v>
      </c>
      <c r="B94" s="53" t="s">
        <v>2898</v>
      </c>
      <c r="D94" s="138"/>
      <c r="E94" s="138"/>
      <c r="F94" s="138"/>
      <c r="L94" s="484" t="s">
        <v>757</v>
      </c>
      <c r="M94" s="3135">
        <v>0.93500000000000005</v>
      </c>
      <c r="N94" s="3136"/>
      <c r="O94" s="3136"/>
      <c r="P94" s="3137"/>
      <c r="Q94" s="562"/>
    </row>
    <row r="95" spans="1:31" ht="10.5" customHeight="1">
      <c r="A95" s="48" t="s">
        <v>2131</v>
      </c>
      <c r="B95" s="53" t="s">
        <v>3925</v>
      </c>
      <c r="D95" s="138"/>
      <c r="E95" s="138"/>
      <c r="F95" s="138"/>
      <c r="L95" s="484" t="s">
        <v>3926</v>
      </c>
      <c r="M95" s="3138">
        <v>2.8000000000000001E-2</v>
      </c>
      <c r="N95" s="1205"/>
      <c r="O95" s="1206" t="s">
        <v>4176</v>
      </c>
      <c r="P95" s="3139">
        <v>3.0000000000000001E-3</v>
      </c>
      <c r="Q95" s="563"/>
    </row>
    <row r="96" spans="1:31" ht="10.5" customHeight="1">
      <c r="A96" s="146" t="s">
        <v>1748</v>
      </c>
      <c r="B96" s="144" t="s">
        <v>3924</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0"/>
      <c r="E98" s="3141" t="s">
        <v>2843</v>
      </c>
      <c r="F98" s="3141"/>
      <c r="G98" s="3141"/>
      <c r="H98" s="68" t="s">
        <v>1752</v>
      </c>
      <c r="I98" s="3140"/>
      <c r="J98" s="3141"/>
      <c r="K98" s="3141"/>
      <c r="L98" s="3141"/>
      <c r="M98" s="67" t="s">
        <v>1561</v>
      </c>
      <c r="N98" s="3140"/>
      <c r="O98" s="3141"/>
      <c r="P98" s="3141"/>
      <c r="Q98" s="3141"/>
    </row>
    <row r="99" spans="1:31" ht="10.5" customHeight="1">
      <c r="C99" s="68" t="s">
        <v>1751</v>
      </c>
      <c r="D99" s="3142"/>
      <c r="E99" s="3143"/>
      <c r="F99" s="3143"/>
      <c r="G99" s="3143"/>
      <c r="H99" s="484" t="s">
        <v>2381</v>
      </c>
      <c r="I99" s="3142"/>
      <c r="J99" s="3143"/>
      <c r="K99" s="3143"/>
      <c r="L99" s="3143"/>
      <c r="M99" s="67" t="s">
        <v>1562</v>
      </c>
      <c r="N99" s="3142"/>
      <c r="O99" s="3143"/>
      <c r="P99" s="3143"/>
      <c r="Q99" s="3143"/>
    </row>
    <row r="100" spans="1:31" ht="10.5" customHeight="1">
      <c r="A100" s="48" t="s">
        <v>1749</v>
      </c>
      <c r="B100" s="53" t="s">
        <v>0</v>
      </c>
      <c r="D100" s="138"/>
      <c r="E100" s="138"/>
      <c r="F100" s="138"/>
      <c r="G100" s="138"/>
      <c r="H100" s="138"/>
      <c r="I100" s="43"/>
      <c r="J100" s="43"/>
      <c r="K100" s="138"/>
      <c r="L100" s="1594"/>
      <c r="M100" s="1594"/>
      <c r="O100" s="484" t="s">
        <v>1749</v>
      </c>
      <c r="P100" s="2976"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2749</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44.25" customHeight="1">
      <c r="A107" s="3111" t="s">
        <v>4729</v>
      </c>
      <c r="B107" s="3112"/>
      <c r="C107" s="3112"/>
      <c r="D107" s="3112"/>
      <c r="E107" s="3112"/>
      <c r="F107" s="3112"/>
      <c r="G107" s="3112"/>
      <c r="H107" s="3112"/>
      <c r="I107" s="3112"/>
      <c r="J107" s="3112"/>
      <c r="K107" s="3112"/>
      <c r="L107" s="3112"/>
      <c r="M107" s="3112"/>
      <c r="N107" s="3112"/>
      <c r="O107" s="3112"/>
      <c r="P107" s="3112"/>
      <c r="Q107" s="3113"/>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4.1"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3014</v>
      </c>
      <c r="Q112" s="561"/>
    </row>
    <row r="113" spans="1:32" ht="10.5" customHeight="1">
      <c r="A113" s="48" t="s">
        <v>2001</v>
      </c>
      <c r="B113" s="53" t="s">
        <v>1316</v>
      </c>
      <c r="C113" s="53"/>
      <c r="E113" s="53"/>
      <c r="F113" s="53"/>
      <c r="G113" s="53"/>
      <c r="H113" s="53"/>
      <c r="I113" s="53"/>
      <c r="J113" s="53"/>
      <c r="K113" s="53"/>
      <c r="L113" s="956"/>
      <c r="M113" s="956"/>
      <c r="O113" s="484" t="s">
        <v>2001</v>
      </c>
      <c r="P113" s="2928" t="s">
        <v>3014</v>
      </c>
      <c r="Q113" s="562"/>
    </row>
    <row r="114" spans="1:32" ht="10.5" customHeight="1">
      <c r="A114" s="37"/>
      <c r="C114" s="40" t="s">
        <v>559</v>
      </c>
      <c r="E114" s="43"/>
      <c r="F114" s="43"/>
      <c r="G114" s="43"/>
      <c r="H114" s="43"/>
      <c r="I114" s="43"/>
      <c r="L114" s="68" t="s">
        <v>560</v>
      </c>
      <c r="M114" s="3126"/>
      <c r="N114" s="3127"/>
      <c r="O114" s="3127"/>
      <c r="P114" s="3144"/>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3014</v>
      </c>
      <c r="Q121" s="561"/>
    </row>
    <row r="122" spans="1:32" ht="10.5" customHeight="1">
      <c r="B122" s="68" t="s">
        <v>1751</v>
      </c>
      <c r="C122" s="53" t="s">
        <v>1442</v>
      </c>
      <c r="E122" s="53"/>
      <c r="F122" s="53"/>
      <c r="G122" s="53"/>
      <c r="H122" s="53"/>
      <c r="I122" s="53"/>
      <c r="J122" s="53"/>
      <c r="K122" s="53"/>
      <c r="L122" s="956"/>
      <c r="M122" s="956"/>
      <c r="O122" s="68" t="s">
        <v>1751</v>
      </c>
      <c r="P122" s="2935" t="s">
        <v>3014</v>
      </c>
      <c r="Q122" s="562"/>
    </row>
    <row r="123" spans="1:32" ht="10.5" customHeight="1">
      <c r="B123" s="68" t="s">
        <v>1752</v>
      </c>
      <c r="C123" s="53" t="s">
        <v>1443</v>
      </c>
      <c r="E123" s="53"/>
      <c r="F123" s="53"/>
      <c r="G123" s="53"/>
      <c r="H123" s="53"/>
      <c r="I123" s="53"/>
      <c r="J123" s="53"/>
      <c r="K123" s="53"/>
      <c r="L123" s="956"/>
      <c r="M123" s="956"/>
      <c r="O123" s="68" t="s">
        <v>1752</v>
      </c>
      <c r="P123" s="2928" t="s">
        <v>3014</v>
      </c>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3111" t="s">
        <v>4676</v>
      </c>
      <c r="B125" s="3112"/>
      <c r="C125" s="3112"/>
      <c r="D125" s="3112"/>
      <c r="E125" s="3112"/>
      <c r="F125" s="3112"/>
      <c r="G125" s="3112"/>
      <c r="H125" s="3112"/>
      <c r="I125" s="3112"/>
      <c r="J125" s="3112"/>
      <c r="K125" s="3112"/>
      <c r="L125" s="3112"/>
      <c r="M125" s="3112"/>
      <c r="N125" s="3112"/>
      <c r="O125" s="3112"/>
      <c r="P125" s="3112"/>
      <c r="Q125" s="3113"/>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4.1"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3662</v>
      </c>
      <c r="D130" s="138"/>
      <c r="E130" s="138"/>
      <c r="F130" s="138"/>
      <c r="G130" s="138"/>
      <c r="H130" s="138"/>
      <c r="I130" s="43"/>
      <c r="J130" s="43"/>
      <c r="K130" s="484" t="s">
        <v>1999</v>
      </c>
      <c r="L130" s="3146" t="s">
        <v>4630</v>
      </c>
      <c r="M130" s="3146"/>
      <c r="N130" s="3146"/>
      <c r="O130" s="3146"/>
      <c r="P130" s="3146"/>
      <c r="Q130" s="560"/>
    </row>
    <row r="131" spans="1:17" ht="12" customHeight="1">
      <c r="A131" s="48" t="s">
        <v>2001</v>
      </c>
      <c r="B131" s="53" t="s">
        <v>1550</v>
      </c>
      <c r="D131" s="138"/>
      <c r="E131" s="138"/>
      <c r="F131" s="138"/>
      <c r="G131" s="138"/>
      <c r="H131" s="138"/>
      <c r="I131" s="43"/>
      <c r="J131" s="43"/>
      <c r="K131" s="138"/>
      <c r="L131" s="1594"/>
      <c r="O131" s="484" t="s">
        <v>2001</v>
      </c>
      <c r="P131" s="2978" t="s">
        <v>3014</v>
      </c>
      <c r="Q131" s="1005"/>
    </row>
    <row r="132" spans="1:17" ht="12" customHeight="1">
      <c r="A132" s="48" t="s">
        <v>757</v>
      </c>
      <c r="B132" s="53" t="s">
        <v>152</v>
      </c>
      <c r="D132" s="138"/>
      <c r="E132" s="138"/>
      <c r="F132" s="138"/>
      <c r="G132" s="138"/>
      <c r="H132" s="138"/>
      <c r="I132" s="43"/>
      <c r="J132" s="43"/>
      <c r="K132" s="1594"/>
      <c r="L132" s="1594"/>
      <c r="O132" s="484" t="s">
        <v>757</v>
      </c>
      <c r="P132" s="2928" t="s">
        <v>3011</v>
      </c>
      <c r="Q132" s="962"/>
    </row>
    <row r="133" spans="1:17" ht="12" customHeight="1">
      <c r="A133" s="48"/>
      <c r="B133" s="67" t="s">
        <v>1750</v>
      </c>
      <c r="C133" s="53" t="s">
        <v>2705</v>
      </c>
      <c r="E133" s="138"/>
      <c r="F133" s="138"/>
      <c r="G133" s="138"/>
      <c r="H133" s="138"/>
      <c r="I133" s="43"/>
      <c r="J133" s="43"/>
      <c r="K133" s="68" t="s">
        <v>1750</v>
      </c>
      <c r="L133" s="3146" t="s">
        <v>4630</v>
      </c>
      <c r="M133" s="3146"/>
      <c r="N133" s="3146"/>
      <c r="O133" s="3146"/>
      <c r="P133" s="3146"/>
      <c r="Q133" s="560"/>
    </row>
    <row r="134" spans="1:17" ht="12" customHeight="1">
      <c r="A134" s="143"/>
      <c r="B134" s="68" t="s">
        <v>1751</v>
      </c>
      <c r="C134" s="37" t="s">
        <v>3496</v>
      </c>
      <c r="E134" s="43"/>
      <c r="F134" s="43"/>
      <c r="G134" s="43"/>
      <c r="H134" s="53"/>
      <c r="I134" s="43"/>
      <c r="J134" s="43"/>
      <c r="K134" s="138"/>
      <c r="L134" s="1594"/>
      <c r="M134" s="1594"/>
      <c r="O134" s="484" t="s">
        <v>1751</v>
      </c>
      <c r="P134" s="2976">
        <v>72.5</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3147"/>
      <c r="D136" s="3147"/>
      <c r="E136" s="3147"/>
      <c r="F136" s="3147"/>
      <c r="G136" s="3147"/>
      <c r="H136" s="3147"/>
      <c r="I136" s="3147"/>
      <c r="J136" s="3147"/>
      <c r="K136" s="3147"/>
      <c r="L136" s="3147"/>
      <c r="M136" s="3147"/>
      <c r="N136" s="3147"/>
      <c r="O136" s="3147"/>
      <c r="P136" s="3147"/>
      <c r="Q136" s="314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3014</v>
      </c>
      <c r="Q138" s="561"/>
    </row>
    <row r="139" spans="1:17" ht="12" customHeight="1">
      <c r="A139" s="48"/>
      <c r="B139" s="68" t="s">
        <v>1751</v>
      </c>
      <c r="C139" s="53" t="s">
        <v>1273</v>
      </c>
      <c r="E139" s="138"/>
      <c r="F139" s="138"/>
      <c r="G139" s="138"/>
      <c r="H139" s="43"/>
      <c r="I139" s="43"/>
      <c r="J139" s="43"/>
      <c r="K139" s="138"/>
      <c r="L139" s="1594"/>
      <c r="M139" s="1594"/>
      <c r="O139" s="68" t="s">
        <v>1751</v>
      </c>
      <c r="P139" s="2935" t="s">
        <v>3011</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48">
        <v>0.18959999999999999</v>
      </c>
      <c r="Q140" s="909"/>
    </row>
    <row r="141" spans="1:17" ht="12" customHeight="1">
      <c r="A141" s="48"/>
      <c r="B141" s="68"/>
      <c r="E141" s="484" t="s">
        <v>2452</v>
      </c>
      <c r="F141" s="53" t="s">
        <v>2651</v>
      </c>
      <c r="G141" s="43"/>
      <c r="H141" s="53"/>
      <c r="I141" s="43"/>
      <c r="J141" s="43"/>
      <c r="K141" s="138"/>
      <c r="L141" s="1594"/>
      <c r="M141" s="1594"/>
      <c r="O141" s="484" t="s">
        <v>2452</v>
      </c>
      <c r="P141" s="2935" t="s">
        <v>3014</v>
      </c>
      <c r="Q141" s="562"/>
    </row>
    <row r="142" spans="1:17" ht="12" customHeight="1">
      <c r="A142" s="48"/>
      <c r="B142" s="68"/>
      <c r="E142" s="484" t="s">
        <v>2453</v>
      </c>
      <c r="F142" s="53" t="s">
        <v>2652</v>
      </c>
      <c r="G142" s="43"/>
      <c r="H142" s="53"/>
      <c r="I142" s="43"/>
      <c r="J142" s="43"/>
      <c r="K142" s="138"/>
      <c r="L142" s="1594"/>
      <c r="M142" s="1594"/>
      <c r="O142" s="484" t="s">
        <v>2453</v>
      </c>
      <c r="P142" s="2935" t="s">
        <v>3011</v>
      </c>
      <c r="Q142" s="562"/>
    </row>
    <row r="143" spans="1:17" ht="12" customHeight="1">
      <c r="A143" s="48"/>
      <c r="B143" s="68" t="s">
        <v>1752</v>
      </c>
      <c r="C143" s="53" t="s">
        <v>1274</v>
      </c>
      <c r="E143" s="138"/>
      <c r="F143" s="138"/>
      <c r="G143" s="138"/>
      <c r="H143" s="53"/>
      <c r="I143" s="43"/>
      <c r="J143" s="43"/>
      <c r="K143" s="138"/>
      <c r="L143" s="1594"/>
      <c r="M143" s="1594"/>
      <c r="O143" s="68" t="s">
        <v>1752</v>
      </c>
      <c r="P143" s="2935" t="s">
        <v>3014</v>
      </c>
      <c r="Q143" s="562"/>
    </row>
    <row r="144" spans="1:17" ht="12" customHeight="1">
      <c r="A144" s="48"/>
      <c r="B144" s="68"/>
      <c r="C144" s="53" t="s">
        <v>2649</v>
      </c>
      <c r="E144" s="484" t="s">
        <v>2451</v>
      </c>
      <c r="F144" s="53" t="s">
        <v>2653</v>
      </c>
      <c r="G144" s="43"/>
      <c r="H144" s="53"/>
      <c r="I144" s="43"/>
      <c r="J144" s="43"/>
      <c r="K144" s="138"/>
      <c r="L144" s="1594"/>
      <c r="O144" s="484" t="s">
        <v>2451</v>
      </c>
      <c r="P144" s="3148">
        <v>5.0299999999999997E-2</v>
      </c>
      <c r="Q144" s="909"/>
    </row>
    <row r="145" spans="1:18" ht="12" customHeight="1">
      <c r="A145" s="48"/>
      <c r="B145" s="68"/>
      <c r="E145" s="484" t="s">
        <v>2452</v>
      </c>
      <c r="F145" s="53" t="s">
        <v>2654</v>
      </c>
      <c r="G145" s="43"/>
      <c r="H145" s="53"/>
      <c r="I145" s="43"/>
      <c r="J145" s="43"/>
      <c r="O145" s="484" t="s">
        <v>2452</v>
      </c>
      <c r="P145" s="2935" t="s">
        <v>3014</v>
      </c>
      <c r="Q145" s="562"/>
    </row>
    <row r="146" spans="1:18" ht="12" customHeight="1">
      <c r="A146" s="48"/>
      <c r="B146" s="68"/>
      <c r="E146" s="484" t="s">
        <v>2453</v>
      </c>
      <c r="F146" s="53" t="s">
        <v>2652</v>
      </c>
      <c r="G146" s="43"/>
      <c r="H146" s="53"/>
      <c r="I146" s="43"/>
      <c r="J146" s="43"/>
      <c r="O146" s="484" t="s">
        <v>2453</v>
      </c>
      <c r="P146" s="2935" t="s">
        <v>3011</v>
      </c>
      <c r="Q146" s="562"/>
    </row>
    <row r="147" spans="1:18" ht="12" customHeight="1">
      <c r="A147" s="37"/>
      <c r="B147" s="68" t="s">
        <v>2381</v>
      </c>
      <c r="C147" s="53" t="s">
        <v>2655</v>
      </c>
      <c r="E147" s="138"/>
      <c r="F147" s="138"/>
      <c r="G147" s="138"/>
      <c r="H147" s="138"/>
      <c r="I147" s="43"/>
      <c r="J147" s="43"/>
      <c r="O147" s="68" t="s">
        <v>2381</v>
      </c>
      <c r="P147" s="2928"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3014</v>
      </c>
      <c r="G149" s="561"/>
      <c r="H149" s="68" t="s">
        <v>1561</v>
      </c>
      <c r="I149" s="56" t="s">
        <v>2657</v>
      </c>
      <c r="L149" s="2929" t="s">
        <v>3014</v>
      </c>
      <c r="M149" s="561"/>
      <c r="N149" s="484" t="s">
        <v>517</v>
      </c>
      <c r="O149" s="53" t="s">
        <v>1564</v>
      </c>
      <c r="P149" s="2929" t="s">
        <v>3014</v>
      </c>
      <c r="Q149" s="561"/>
    </row>
    <row r="150" spans="1:18" ht="12" customHeight="1">
      <c r="A150" s="37"/>
      <c r="B150" s="68" t="s">
        <v>1751</v>
      </c>
      <c r="C150" s="53" t="s">
        <v>2822</v>
      </c>
      <c r="E150" s="138"/>
      <c r="F150" s="2935" t="s">
        <v>3011</v>
      </c>
      <c r="G150" s="562"/>
      <c r="H150" s="68" t="s">
        <v>1562</v>
      </c>
      <c r="I150" s="56" t="s">
        <v>2658</v>
      </c>
      <c r="L150" s="2935" t="s">
        <v>3014</v>
      </c>
      <c r="M150" s="562"/>
      <c r="N150" s="484" t="s">
        <v>518</v>
      </c>
      <c r="O150" s="53" t="s">
        <v>1563</v>
      </c>
      <c r="P150" s="2935" t="s">
        <v>3014</v>
      </c>
      <c r="Q150" s="562"/>
    </row>
    <row r="151" spans="1:18" ht="12" customHeight="1">
      <c r="A151" s="37"/>
      <c r="B151" s="68" t="s">
        <v>1752</v>
      </c>
      <c r="C151" s="53" t="s">
        <v>2656</v>
      </c>
      <c r="E151" s="138"/>
      <c r="F151" s="2935" t="s">
        <v>3014</v>
      </c>
      <c r="G151" s="562"/>
      <c r="H151" s="484" t="s">
        <v>99</v>
      </c>
      <c r="I151" s="56" t="s">
        <v>3874</v>
      </c>
      <c r="L151" s="2935" t="s">
        <v>3014</v>
      </c>
      <c r="M151" s="562"/>
      <c r="N151" s="484" t="s">
        <v>2824</v>
      </c>
      <c r="O151" s="53" t="s">
        <v>1565</v>
      </c>
      <c r="P151" s="2928" t="s">
        <v>3014</v>
      </c>
      <c r="Q151" s="563"/>
    </row>
    <row r="152" spans="1:18" ht="12" customHeight="1">
      <c r="A152" s="37"/>
      <c r="B152" s="68" t="s">
        <v>2381</v>
      </c>
      <c r="C152" s="53" t="s">
        <v>2825</v>
      </c>
      <c r="E152" s="138"/>
      <c r="F152" s="2928" t="s">
        <v>3014</v>
      </c>
      <c r="G152" s="563"/>
      <c r="H152" s="484" t="s">
        <v>516</v>
      </c>
      <c r="I152" s="53" t="s">
        <v>2821</v>
      </c>
      <c r="L152" s="2928" t="s">
        <v>3014</v>
      </c>
      <c r="M152" s="563"/>
      <c r="O152" s="68"/>
    </row>
    <row r="153" spans="1:18" ht="12" customHeight="1">
      <c r="A153" s="37"/>
      <c r="B153" s="484" t="s">
        <v>2913</v>
      </c>
      <c r="C153" s="53" t="s">
        <v>2823</v>
      </c>
      <c r="E153" s="138"/>
      <c r="F153" s="138"/>
      <c r="G153" s="138"/>
      <c r="H153" s="138"/>
      <c r="I153" s="138"/>
      <c r="J153" s="138"/>
      <c r="K153" s="138"/>
      <c r="L153" s="138"/>
      <c r="M153" s="53"/>
      <c r="O153" s="68"/>
      <c r="P153" s="68"/>
    </row>
    <row r="154" spans="1:18" ht="12" customHeight="1">
      <c r="A154" s="37"/>
      <c r="C154" s="3147" t="s">
        <v>4730</v>
      </c>
      <c r="D154" s="3147"/>
      <c r="E154" s="3147"/>
      <c r="F154" s="3147"/>
      <c r="G154" s="3147"/>
      <c r="H154" s="3147"/>
      <c r="I154" s="3147"/>
      <c r="J154" s="3147"/>
      <c r="K154" s="3147"/>
      <c r="L154" s="3147"/>
      <c r="M154" s="3147"/>
      <c r="N154" s="3147"/>
      <c r="O154" s="3147"/>
      <c r="P154" s="3147"/>
      <c r="Q154" s="3147"/>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929" t="s">
        <v>3014</v>
      </c>
      <c r="Q156" s="561"/>
    </row>
    <row r="157" spans="1:18" ht="12" customHeight="1">
      <c r="A157" s="1589"/>
      <c r="B157" s="68" t="s">
        <v>1751</v>
      </c>
      <c r="C157" s="53" t="s">
        <v>495</v>
      </c>
      <c r="E157" s="53"/>
      <c r="F157" s="53"/>
      <c r="G157" s="53"/>
      <c r="H157" s="53"/>
      <c r="I157" s="43"/>
      <c r="J157" s="43"/>
      <c r="K157" s="53"/>
      <c r="L157" s="53"/>
      <c r="M157" s="53"/>
      <c r="O157" s="68" t="s">
        <v>1751</v>
      </c>
      <c r="P157" s="2935" t="s">
        <v>3014</v>
      </c>
      <c r="Q157" s="562"/>
    </row>
    <row r="158" spans="1:18" ht="12" customHeight="1">
      <c r="A158" s="1589"/>
      <c r="B158" s="68" t="s">
        <v>1752</v>
      </c>
      <c r="C158" s="53" t="s">
        <v>687</v>
      </c>
      <c r="E158" s="53"/>
      <c r="F158" s="53"/>
      <c r="G158" s="53"/>
      <c r="H158" s="53"/>
      <c r="I158" s="43"/>
      <c r="J158" s="43"/>
      <c r="K158" s="53"/>
      <c r="L158" s="53"/>
      <c r="M158" s="53"/>
      <c r="O158" s="68" t="s">
        <v>1752</v>
      </c>
      <c r="P158" s="2935" t="s">
        <v>3014</v>
      </c>
      <c r="Q158" s="562"/>
    </row>
    <row r="159" spans="1:18" ht="12" customHeight="1">
      <c r="A159" s="48" t="s">
        <v>1962</v>
      </c>
      <c r="B159" s="53" t="s">
        <v>1766</v>
      </c>
      <c r="D159" s="138"/>
      <c r="E159" s="138"/>
      <c r="F159" s="138"/>
      <c r="G159" s="138"/>
      <c r="H159" s="138"/>
      <c r="I159" s="43"/>
      <c r="J159" s="43"/>
      <c r="K159" s="138"/>
      <c r="L159" s="138"/>
      <c r="M159" s="1594"/>
      <c r="O159" s="484" t="s">
        <v>1962</v>
      </c>
      <c r="P159" s="2928"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49" t="s">
        <v>1784</v>
      </c>
      <c r="O161" s="3150"/>
      <c r="P161" s="1943" t="s">
        <v>1784</v>
      </c>
      <c r="Q161" s="1944"/>
      <c r="AE161" s="5"/>
      <c r="AF161" s="5"/>
    </row>
    <row r="162" spans="1:32" s="1" customFormat="1" ht="12" customHeight="1">
      <c r="A162" s="48" t="s">
        <v>622</v>
      </c>
      <c r="B162" s="118" t="s">
        <v>1</v>
      </c>
      <c r="D162" s="1240"/>
      <c r="E162" s="1240"/>
      <c r="G162" s="484" t="s">
        <v>622</v>
      </c>
      <c r="H162" s="3151" t="s">
        <v>3188</v>
      </c>
      <c r="I162" s="3152"/>
      <c r="J162" s="3152"/>
      <c r="K162" s="3152"/>
      <c r="L162" s="3152"/>
      <c r="M162" s="3152"/>
      <c r="N162" s="3152"/>
      <c r="O162" s="3152"/>
      <c r="P162" s="3153"/>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998"/>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24.95" customHeight="1">
      <c r="A165" s="3111" t="s">
        <v>4694</v>
      </c>
      <c r="B165" s="3112"/>
      <c r="C165" s="3112"/>
      <c r="D165" s="3112"/>
      <c r="E165" s="3112"/>
      <c r="F165" s="3112"/>
      <c r="G165" s="3112"/>
      <c r="H165" s="3112"/>
      <c r="I165" s="3112"/>
      <c r="J165" s="3112"/>
      <c r="K165" s="3112"/>
      <c r="L165" s="3112"/>
      <c r="M165" s="3112"/>
      <c r="N165" s="3112"/>
      <c r="O165" s="3112"/>
      <c r="P165" s="3112"/>
      <c r="Q165" s="311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4.1"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3933</v>
      </c>
      <c r="D171" s="53"/>
      <c r="E171" s="53"/>
      <c r="F171" s="53"/>
      <c r="G171" s="53"/>
      <c r="I171" s="53" t="s">
        <v>2726</v>
      </c>
      <c r="K171" s="3154">
        <v>43465</v>
      </c>
      <c r="L171" s="3155"/>
      <c r="N171" s="53"/>
      <c r="O171" s="484" t="s">
        <v>1999</v>
      </c>
      <c r="P171" s="2998" t="s">
        <v>3011</v>
      </c>
      <c r="Q171" s="559"/>
    </row>
    <row r="172" spans="1:32" ht="12" customHeight="1">
      <c r="A172" s="48" t="s">
        <v>2001</v>
      </c>
      <c r="B172" s="144" t="s">
        <v>151</v>
      </c>
      <c r="D172" s="144"/>
      <c r="E172" s="144"/>
      <c r="F172" s="144"/>
      <c r="G172" s="144"/>
      <c r="H172" s="144"/>
      <c r="M172" s="484" t="s">
        <v>2001</v>
      </c>
      <c r="N172" s="3156" t="s">
        <v>4631</v>
      </c>
      <c r="O172" s="3157"/>
      <c r="P172" s="1905" t="s">
        <v>1784</v>
      </c>
      <c r="Q172" s="1906"/>
    </row>
    <row r="173" spans="1:32" ht="12" customHeight="1">
      <c r="A173" s="48" t="s">
        <v>757</v>
      </c>
      <c r="B173" s="144" t="s">
        <v>688</v>
      </c>
      <c r="D173" s="144"/>
      <c r="E173" s="144"/>
      <c r="F173" s="144"/>
      <c r="G173" s="144"/>
      <c r="H173" s="144"/>
      <c r="J173" s="484" t="s">
        <v>757</v>
      </c>
      <c r="K173" s="3126" t="s">
        <v>4632</v>
      </c>
      <c r="L173" s="3127"/>
      <c r="M173" s="3127"/>
      <c r="N173" s="3127"/>
      <c r="O173" s="3127"/>
      <c r="P173" s="3128"/>
      <c r="Q173" s="559"/>
    </row>
    <row r="174" spans="1:32" ht="12" customHeight="1">
      <c r="A174" s="48" t="s">
        <v>2131</v>
      </c>
      <c r="B174" s="144" t="s">
        <v>2901</v>
      </c>
      <c r="D174" s="144"/>
      <c r="E174" s="144"/>
      <c r="F174" s="144"/>
      <c r="G174" s="144"/>
      <c r="H174" s="144"/>
      <c r="J174" s="484"/>
      <c r="K174" s="484"/>
      <c r="L174" s="484"/>
      <c r="M174" s="484"/>
      <c r="N174" s="484"/>
      <c r="O174" s="484" t="s">
        <v>2131</v>
      </c>
      <c r="P174" s="2998" t="s">
        <v>3014</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3111" t="s">
        <v>4712</v>
      </c>
      <c r="B176" s="3112"/>
      <c r="C176" s="3112"/>
      <c r="D176" s="3112"/>
      <c r="E176" s="3112"/>
      <c r="F176" s="3112"/>
      <c r="G176" s="3112"/>
      <c r="H176" s="3112"/>
      <c r="I176" s="3112"/>
      <c r="J176" s="3112"/>
      <c r="K176" s="3112"/>
      <c r="L176" s="3112"/>
      <c r="M176" s="3112"/>
      <c r="N176" s="3112"/>
      <c r="O176" s="3112"/>
      <c r="P176" s="3112"/>
      <c r="Q176" s="3113"/>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4.1"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3769</v>
      </c>
      <c r="C181" s="1892"/>
      <c r="D181" s="1892"/>
      <c r="E181" s="1892"/>
      <c r="F181" s="1892"/>
      <c r="G181" s="1892"/>
      <c r="H181" s="1892"/>
      <c r="I181" s="1892"/>
      <c r="J181" s="1892"/>
      <c r="K181" s="1892"/>
      <c r="L181" s="1892"/>
      <c r="M181" s="1892"/>
      <c r="N181" s="1892"/>
      <c r="O181" s="166" t="s">
        <v>1999</v>
      </c>
      <c r="P181" s="3069" t="s">
        <v>3011</v>
      </c>
      <c r="Q181" s="1261"/>
    </row>
    <row r="182" spans="1:31" ht="22.35" customHeight="1">
      <c r="A182" s="146" t="s">
        <v>2001</v>
      </c>
      <c r="B182" s="1892" t="s">
        <v>3663</v>
      </c>
      <c r="C182" s="1892"/>
      <c r="D182" s="1892"/>
      <c r="E182" s="1892"/>
      <c r="F182" s="1892"/>
      <c r="G182" s="1892"/>
      <c r="H182" s="1892"/>
      <c r="I182" s="1892"/>
      <c r="J182" s="1892"/>
      <c r="K182" s="1892"/>
      <c r="L182" s="1892"/>
      <c r="M182" s="1892"/>
      <c r="N182" s="1892"/>
      <c r="O182" s="166" t="s">
        <v>2001</v>
      </c>
      <c r="P182" s="3145" t="s">
        <v>3014</v>
      </c>
      <c r="Q182" s="564"/>
    </row>
    <row r="183" spans="1:31" ht="22.35" customHeight="1">
      <c r="A183" s="146" t="s">
        <v>757</v>
      </c>
      <c r="B183" s="1892" t="s">
        <v>3770</v>
      </c>
      <c r="C183" s="1892"/>
      <c r="D183" s="1892"/>
      <c r="E183" s="1892"/>
      <c r="F183" s="1892"/>
      <c r="G183" s="1892"/>
      <c r="H183" s="1892"/>
      <c r="I183" s="1892"/>
      <c r="J183" s="1892"/>
      <c r="K183" s="1892"/>
      <c r="L183" s="1892"/>
      <c r="M183" s="1892"/>
      <c r="N183" s="1892"/>
      <c r="O183" s="166" t="s">
        <v>757</v>
      </c>
      <c r="P183" s="3145" t="s">
        <v>3014</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2" t="s">
        <v>3014</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11.45" customHeight="1">
      <c r="A186" s="3111" t="s">
        <v>4633</v>
      </c>
      <c r="B186" s="3112"/>
      <c r="C186" s="3112"/>
      <c r="D186" s="3112"/>
      <c r="E186" s="3112"/>
      <c r="F186" s="3112"/>
      <c r="G186" s="3112"/>
      <c r="H186" s="3112"/>
      <c r="I186" s="3112"/>
      <c r="J186" s="3112"/>
      <c r="K186" s="3112"/>
      <c r="L186" s="3112"/>
      <c r="M186" s="3112"/>
      <c r="N186" s="3112"/>
      <c r="O186" s="3112"/>
      <c r="P186" s="3112"/>
      <c r="Q186" s="3113"/>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4.1"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5"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5" t="s">
        <v>3011</v>
      </c>
      <c r="Q195" s="562"/>
    </row>
    <row r="196" spans="1:32" s="137" customFormat="1" ht="21.75" customHeight="1">
      <c r="A196" s="146"/>
      <c r="C196" s="932"/>
      <c r="D196" s="166" t="s">
        <v>1752</v>
      </c>
      <c r="E196" s="1892" t="s">
        <v>3771</v>
      </c>
      <c r="F196" s="1892"/>
      <c r="G196" s="1892"/>
      <c r="H196" s="1892"/>
      <c r="I196" s="1892"/>
      <c r="J196" s="1892"/>
      <c r="K196" s="1892"/>
      <c r="L196" s="1892"/>
      <c r="M196" s="1892"/>
      <c r="N196" s="1892"/>
      <c r="O196" s="166" t="s">
        <v>1752</v>
      </c>
      <c r="P196" s="3145"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5" t="s">
        <v>4731</v>
      </c>
      <c r="Q198" s="564"/>
      <c r="AE198" s="487"/>
      <c r="AF198" s="487"/>
    </row>
    <row r="199" spans="1:32" s="137" customFormat="1" ht="21.75" customHeight="1">
      <c r="A199" s="146"/>
      <c r="C199" s="932"/>
      <c r="D199" s="166" t="s">
        <v>1562</v>
      </c>
      <c r="E199" s="1892" t="s">
        <v>3927</v>
      </c>
      <c r="F199" s="1892"/>
      <c r="G199" s="1892"/>
      <c r="H199" s="1892"/>
      <c r="I199" s="1892"/>
      <c r="J199" s="1892"/>
      <c r="K199" s="1892"/>
      <c r="L199" s="1892"/>
      <c r="M199" s="1892"/>
      <c r="N199" s="1892"/>
      <c r="O199" s="166" t="s">
        <v>1562</v>
      </c>
      <c r="P199" s="3145" t="s">
        <v>4731</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5"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3011</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24" customHeight="1">
      <c r="A203" s="3111" t="s">
        <v>4713</v>
      </c>
      <c r="B203" s="3112"/>
      <c r="C203" s="3112"/>
      <c r="D203" s="3112"/>
      <c r="E203" s="3112"/>
      <c r="F203" s="3112"/>
      <c r="G203" s="3112"/>
      <c r="H203" s="3112"/>
      <c r="I203" s="3112"/>
      <c r="J203" s="3112"/>
      <c r="K203" s="3112"/>
      <c r="L203" s="3112"/>
      <c r="M203" s="3112"/>
      <c r="N203" s="3112"/>
      <c r="O203" s="3112"/>
      <c r="P203" s="3112"/>
      <c r="Q203" s="3113"/>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4.1"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29" t="s">
        <v>4634</v>
      </c>
      <c r="K208" s="3130"/>
      <c r="L208" s="3130"/>
      <c r="M208" s="3130"/>
      <c r="N208" s="3158"/>
      <c r="O208" s="68" t="s">
        <v>1750</v>
      </c>
      <c r="P208" s="2929" t="s">
        <v>3014</v>
      </c>
      <c r="Q208" s="561"/>
    </row>
    <row r="209" spans="1:31" ht="11.25" customHeight="1">
      <c r="A209" s="143"/>
      <c r="B209" s="145" t="s">
        <v>3779</v>
      </c>
      <c r="C209" s="107"/>
      <c r="D209" s="107"/>
      <c r="E209" s="107"/>
      <c r="F209" s="107"/>
      <c r="H209" s="68" t="s">
        <v>1751</v>
      </c>
      <c r="I209" s="53" t="s">
        <v>1608</v>
      </c>
      <c r="J209" s="3159" t="s">
        <v>4635</v>
      </c>
      <c r="K209" s="3160"/>
      <c r="L209" s="3160"/>
      <c r="M209" s="3160"/>
      <c r="N209" s="3161"/>
      <c r="O209" s="68" t="s">
        <v>1751</v>
      </c>
      <c r="P209" s="2928" t="s">
        <v>3011</v>
      </c>
      <c r="Q209" s="563"/>
    </row>
    <row r="210" spans="1:31" ht="11.45" customHeight="1">
      <c r="A210" s="3111" t="s">
        <v>4714</v>
      </c>
      <c r="B210" s="3112"/>
      <c r="C210" s="3112"/>
      <c r="D210" s="3112"/>
      <c r="E210" s="3112"/>
      <c r="F210" s="3112"/>
      <c r="G210" s="3112"/>
      <c r="H210" s="3112"/>
      <c r="I210" s="3112"/>
      <c r="J210" s="3112"/>
      <c r="K210" s="3112"/>
      <c r="L210" s="3112"/>
      <c r="M210" s="3112"/>
      <c r="N210" s="3112"/>
      <c r="O210" s="3112"/>
      <c r="P210" s="3112"/>
      <c r="Q210" s="3113"/>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3499999999999996" customHeight="1">
      <c r="B213" s="1589"/>
      <c r="C213" s="1592"/>
      <c r="D213" s="1592"/>
      <c r="E213" s="1592"/>
      <c r="F213" s="1592"/>
      <c r="G213" s="1592"/>
      <c r="H213" s="1592"/>
      <c r="I213" s="1592"/>
      <c r="J213" s="1592"/>
      <c r="K213" s="1592"/>
      <c r="L213" s="1592"/>
      <c r="M213" s="1592"/>
      <c r="Q213" s="955"/>
    </row>
    <row r="214" spans="1:31" ht="14.1"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3499999999999996"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29" t="s">
        <v>3687</v>
      </c>
      <c r="K218" s="3130"/>
      <c r="L218" s="3130"/>
      <c r="M218" s="3130"/>
      <c r="N218" s="3158"/>
      <c r="O218" s="68" t="s">
        <v>1458</v>
      </c>
      <c r="P218" s="2935" t="s">
        <v>3011</v>
      </c>
      <c r="Q218" s="562"/>
    </row>
    <row r="219" spans="1:31" ht="11.45" customHeight="1">
      <c r="A219" s="155"/>
      <c r="B219" s="1892"/>
      <c r="C219" s="1892"/>
      <c r="D219" s="1892"/>
      <c r="E219" s="1892"/>
      <c r="F219" s="1892"/>
      <c r="G219" s="1892"/>
      <c r="H219" s="68" t="s">
        <v>1751</v>
      </c>
      <c r="I219" s="53" t="s">
        <v>117</v>
      </c>
      <c r="J219" s="3159" t="s">
        <v>3687</v>
      </c>
      <c r="K219" s="3160"/>
      <c r="L219" s="3160"/>
      <c r="M219" s="3160"/>
      <c r="N219" s="3161"/>
      <c r="O219" s="68" t="s">
        <v>1751</v>
      </c>
      <c r="P219" s="2935" t="s">
        <v>3011</v>
      </c>
      <c r="Q219" s="562"/>
    </row>
    <row r="220" spans="1:31" ht="12" customHeight="1">
      <c r="A220" s="48" t="s">
        <v>757</v>
      </c>
      <c r="B220" s="53" t="s">
        <v>3934</v>
      </c>
      <c r="D220" s="53"/>
      <c r="E220" s="53"/>
      <c r="F220" s="53"/>
      <c r="G220" s="53"/>
      <c r="H220" s="53"/>
      <c r="I220" s="53"/>
      <c r="J220" s="53"/>
      <c r="K220" s="43"/>
      <c r="L220" s="53"/>
      <c r="M220" s="53"/>
      <c r="O220" s="484" t="s">
        <v>757</v>
      </c>
      <c r="P220" s="2935"/>
      <c r="Q220" s="562"/>
    </row>
    <row r="221" spans="1:31" ht="12" customHeight="1">
      <c r="A221" s="48" t="s">
        <v>2131</v>
      </c>
      <c r="B221" s="53" t="s">
        <v>3935</v>
      </c>
      <c r="D221" s="53"/>
      <c r="E221" s="53"/>
      <c r="F221" s="53"/>
      <c r="G221" s="53"/>
      <c r="H221" s="53"/>
      <c r="I221" s="53"/>
      <c r="J221" s="53"/>
      <c r="K221" s="43"/>
      <c r="L221" s="53"/>
      <c r="M221" s="53"/>
      <c r="O221" s="484" t="s">
        <v>2131</v>
      </c>
      <c r="P221" s="2928"/>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11.45" customHeight="1">
      <c r="A223" s="3111" t="s">
        <v>4640</v>
      </c>
      <c r="B223" s="3112"/>
      <c r="C223" s="3112"/>
      <c r="D223" s="3112"/>
      <c r="E223" s="3112"/>
      <c r="F223" s="3112"/>
      <c r="G223" s="3112"/>
      <c r="H223" s="3112"/>
      <c r="I223" s="3112"/>
      <c r="J223" s="3112"/>
      <c r="K223" s="3112"/>
      <c r="L223" s="3112"/>
      <c r="M223" s="3112"/>
      <c r="N223" s="3112"/>
      <c r="O223" s="3112"/>
      <c r="P223" s="3112"/>
      <c r="Q223" s="3113"/>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4.1"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998" t="s">
        <v>3014</v>
      </c>
      <c r="Q228" s="559"/>
      <c r="AE228" s="120"/>
      <c r="AF228" s="120"/>
    </row>
    <row r="229" spans="1:32" ht="12" customHeight="1">
      <c r="A229" s="48" t="s">
        <v>1999</v>
      </c>
      <c r="B229" s="37" t="s">
        <v>3729</v>
      </c>
      <c r="D229" s="43"/>
      <c r="E229" s="43"/>
      <c r="F229" s="43"/>
      <c r="G229" s="43"/>
      <c r="H229" s="43"/>
      <c r="I229" s="43"/>
      <c r="J229" s="43"/>
      <c r="K229" s="43"/>
      <c r="L229" s="43"/>
      <c r="M229" s="43"/>
      <c r="O229" s="484" t="s">
        <v>1999</v>
      </c>
      <c r="P229" s="2998" t="s">
        <v>4629</v>
      </c>
      <c r="Q229" s="561"/>
    </row>
    <row r="230" spans="1:32" ht="11.45" customHeight="1">
      <c r="A230" s="48"/>
      <c r="B230" s="68" t="s">
        <v>1750</v>
      </c>
      <c r="C230" s="53" t="s">
        <v>1946</v>
      </c>
      <c r="E230" s="53"/>
      <c r="F230" s="53"/>
      <c r="G230" s="53"/>
      <c r="H230" s="53"/>
      <c r="I230" s="43"/>
      <c r="J230" s="68" t="s">
        <v>1498</v>
      </c>
      <c r="K230" s="3129" t="s">
        <v>4636</v>
      </c>
      <c r="L230" s="3158"/>
      <c r="Q230" s="562"/>
    </row>
    <row r="231" spans="1:32" ht="11.45" customHeight="1">
      <c r="A231" s="48"/>
      <c r="B231" s="68" t="s">
        <v>1751</v>
      </c>
      <c r="C231" s="956" t="s">
        <v>2742</v>
      </c>
      <c r="E231" s="956"/>
      <c r="F231" s="956"/>
      <c r="G231" s="956"/>
      <c r="H231" s="956"/>
      <c r="I231" s="43"/>
      <c r="J231" s="68" t="s">
        <v>1499</v>
      </c>
      <c r="K231" s="3162" t="s">
        <v>4637</v>
      </c>
      <c r="L231" s="3163"/>
      <c r="M231" s="3164" t="s">
        <v>2743</v>
      </c>
      <c r="N231" s="3165"/>
      <c r="O231" s="3165"/>
      <c r="P231" s="3166"/>
      <c r="Q231" s="562"/>
    </row>
    <row r="232" spans="1:32" ht="11.45" customHeight="1">
      <c r="A232" s="48"/>
      <c r="B232" s="68" t="s">
        <v>1752</v>
      </c>
      <c r="C232" s="956" t="s">
        <v>563</v>
      </c>
      <c r="E232" s="956"/>
      <c r="F232" s="956"/>
      <c r="G232" s="956"/>
      <c r="H232" s="956"/>
      <c r="I232" s="43"/>
      <c r="J232" s="68" t="s">
        <v>1500</v>
      </c>
      <c r="K232" s="3159" t="s">
        <v>4638</v>
      </c>
      <c r="L232" s="3160"/>
      <c r="M232" s="316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8" t="s">
        <v>4629</v>
      </c>
      <c r="Q233" s="559"/>
    </row>
    <row r="234" spans="1:32" ht="11.1" customHeight="1">
      <c r="A234" s="48"/>
      <c r="B234" s="53" t="s">
        <v>3607</v>
      </c>
      <c r="D234" s="53"/>
      <c r="E234" s="53"/>
      <c r="F234" s="53"/>
      <c r="G234" s="53"/>
      <c r="H234" s="53"/>
      <c r="I234" s="53"/>
      <c r="J234" s="53"/>
      <c r="K234" s="43"/>
      <c r="L234" s="43"/>
      <c r="M234" s="43"/>
      <c r="N234" s="43"/>
      <c r="O234" s="43"/>
      <c r="P234" s="1941" t="s">
        <v>2</v>
      </c>
      <c r="Q234" s="1941"/>
    </row>
    <row r="235" spans="1:32" ht="11.1"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67" t="s">
        <v>4639</v>
      </c>
      <c r="D236" s="3168"/>
      <c r="E236" s="3168"/>
      <c r="F236" s="3168"/>
      <c r="G236" s="3169"/>
      <c r="H236" s="568"/>
      <c r="I236" s="569"/>
      <c r="J236" s="68" t="s">
        <v>1752</v>
      </c>
      <c r="K236" s="3167" t="s">
        <v>4229</v>
      </c>
      <c r="L236" s="3168"/>
      <c r="M236" s="3168"/>
      <c r="N236" s="3168"/>
      <c r="O236" s="3169"/>
      <c r="P236" s="561"/>
      <c r="Q236" s="569"/>
      <c r="AE236" s="55"/>
      <c r="AF236" s="55"/>
    </row>
    <row r="237" spans="1:32" s="44" customFormat="1" ht="11.45" customHeight="1">
      <c r="A237" s="52"/>
      <c r="B237" s="68" t="s">
        <v>1751</v>
      </c>
      <c r="C237" s="3170" t="s">
        <v>1671</v>
      </c>
      <c r="D237" s="3171"/>
      <c r="E237" s="3171"/>
      <c r="F237" s="3171"/>
      <c r="G237" s="3172"/>
      <c r="H237" s="570"/>
      <c r="I237" s="571"/>
      <c r="J237" s="68" t="s">
        <v>2381</v>
      </c>
      <c r="K237" s="3170"/>
      <c r="L237" s="3171"/>
      <c r="M237" s="3171"/>
      <c r="N237" s="3171"/>
      <c r="O237" s="317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4629</v>
      </c>
      <c r="Q238" s="561"/>
    </row>
    <row r="239" spans="1:32" ht="11.45" customHeight="1">
      <c r="A239" s="48"/>
      <c r="B239" s="68" t="s">
        <v>1750</v>
      </c>
      <c r="C239" s="53" t="s">
        <v>3488</v>
      </c>
      <c r="E239" s="53"/>
      <c r="F239" s="53"/>
      <c r="L239" s="34"/>
      <c r="M239" s="34"/>
      <c r="O239" s="68" t="s">
        <v>1750</v>
      </c>
      <c r="P239" s="2935" t="s">
        <v>3011</v>
      </c>
      <c r="Q239" s="562"/>
    </row>
    <row r="240" spans="1:32" ht="11.45" customHeight="1">
      <c r="B240" s="68" t="s">
        <v>1751</v>
      </c>
      <c r="C240" s="956" t="s">
        <v>2827</v>
      </c>
      <c r="E240" s="956"/>
      <c r="F240" s="956"/>
      <c r="L240" s="34"/>
      <c r="M240" s="34"/>
      <c r="O240" s="68" t="s">
        <v>1751</v>
      </c>
      <c r="P240" s="2935" t="s">
        <v>3011</v>
      </c>
      <c r="Q240" s="562"/>
    </row>
    <row r="241" spans="1:31" ht="11.45" customHeight="1">
      <c r="B241" s="68" t="s">
        <v>1752</v>
      </c>
      <c r="C241" s="956" t="s">
        <v>2828</v>
      </c>
      <c r="E241" s="956"/>
      <c r="F241" s="956"/>
      <c r="G241" s="956"/>
      <c r="H241" s="956"/>
      <c r="I241" s="43"/>
      <c r="J241" s="34"/>
      <c r="K241" s="43"/>
      <c r="L241" s="34"/>
      <c r="M241" s="34"/>
      <c r="O241" s="68" t="s">
        <v>1752</v>
      </c>
      <c r="P241" s="2935" t="s">
        <v>3011</v>
      </c>
      <c r="Q241" s="562"/>
    </row>
    <row r="242" spans="1:31" ht="11.45" customHeight="1">
      <c r="A242" s="48"/>
      <c r="B242" s="68" t="s">
        <v>2381</v>
      </c>
      <c r="C242" s="956" t="s">
        <v>2829</v>
      </c>
      <c r="E242" s="956"/>
      <c r="F242" s="956"/>
      <c r="G242" s="956"/>
      <c r="H242" s="956"/>
      <c r="I242" s="43"/>
      <c r="J242" s="34"/>
      <c r="K242" s="43"/>
      <c r="L242" s="34"/>
      <c r="M242" s="34"/>
      <c r="O242" s="68" t="s">
        <v>2381</v>
      </c>
      <c r="P242" s="2935" t="s">
        <v>3011</v>
      </c>
      <c r="Q242" s="562"/>
    </row>
    <row r="243" spans="1:31" ht="11.45" customHeight="1">
      <c r="A243" s="48"/>
      <c r="B243" s="68" t="s">
        <v>1561</v>
      </c>
      <c r="C243" s="956" t="s">
        <v>2830</v>
      </c>
      <c r="E243" s="956"/>
      <c r="F243" s="956"/>
      <c r="G243" s="956"/>
      <c r="H243" s="956"/>
      <c r="I243" s="43"/>
      <c r="J243" s="34"/>
      <c r="K243" s="43"/>
      <c r="L243" s="34"/>
      <c r="M243" s="34"/>
      <c r="O243" s="68" t="s">
        <v>1561</v>
      </c>
      <c r="P243" s="2935" t="s">
        <v>3011</v>
      </c>
      <c r="Q243" s="562"/>
    </row>
    <row r="244" spans="1:31" ht="11.45" customHeight="1">
      <c r="A244" s="48"/>
      <c r="B244" s="484" t="s">
        <v>1562</v>
      </c>
      <c r="C244" s="53" t="s">
        <v>783</v>
      </c>
      <c r="E244" s="53"/>
      <c r="F244" s="53"/>
      <c r="G244" s="53"/>
      <c r="H244" s="53"/>
      <c r="I244" s="43"/>
      <c r="J244" s="34"/>
      <c r="K244" s="43"/>
      <c r="L244" s="34"/>
      <c r="M244" s="34"/>
      <c r="O244" s="484" t="s">
        <v>2818</v>
      </c>
      <c r="P244" s="2935" t="s">
        <v>3011</v>
      </c>
      <c r="Q244" s="562"/>
    </row>
    <row r="245" spans="1:31" ht="11.45" customHeight="1">
      <c r="A245" s="48"/>
      <c r="B245" s="68"/>
      <c r="C245" s="53" t="s">
        <v>1501</v>
      </c>
      <c r="E245" s="53"/>
      <c r="F245" s="53"/>
      <c r="G245" s="53"/>
      <c r="H245" s="53"/>
      <c r="I245" s="43"/>
      <c r="J245" s="34"/>
      <c r="K245" s="43"/>
      <c r="L245" s="34"/>
      <c r="M245" s="34"/>
      <c r="O245" s="484" t="s">
        <v>2819</v>
      </c>
      <c r="P245" s="2928" t="s">
        <v>3014</v>
      </c>
      <c r="Q245" s="563"/>
    </row>
    <row r="246" spans="1:31" ht="12" customHeight="1">
      <c r="A246" s="48" t="s">
        <v>2131</v>
      </c>
      <c r="B246" s="53" t="s">
        <v>3688</v>
      </c>
      <c r="C246" s="53"/>
      <c r="E246" s="53"/>
      <c r="F246" s="53"/>
      <c r="G246" s="53"/>
      <c r="H246" s="53"/>
      <c r="I246" s="53"/>
      <c r="J246" s="53"/>
      <c r="K246" s="43"/>
      <c r="L246" s="53"/>
      <c r="M246" s="53"/>
      <c r="O246" s="484" t="s">
        <v>2131</v>
      </c>
      <c r="P246" s="2929" t="s">
        <v>979</v>
      </c>
      <c r="Q246" s="561"/>
    </row>
    <row r="247" spans="1:31" ht="11.45" customHeight="1">
      <c r="B247" s="68" t="s">
        <v>1750</v>
      </c>
      <c r="C247" s="40" t="s">
        <v>1267</v>
      </c>
      <c r="E247" s="43"/>
      <c r="F247" s="43"/>
      <c r="G247" s="40"/>
      <c r="H247" s="956"/>
      <c r="I247" s="43"/>
      <c r="J247" s="956"/>
      <c r="K247" s="43"/>
      <c r="L247" s="956"/>
      <c r="M247" s="956"/>
      <c r="O247" s="68" t="s">
        <v>1750</v>
      </c>
      <c r="P247" s="2935" t="s">
        <v>3011</v>
      </c>
      <c r="Q247" s="562"/>
    </row>
    <row r="248" spans="1:31" ht="11.45" customHeight="1">
      <c r="B248" s="68" t="s">
        <v>1751</v>
      </c>
      <c r="C248" s="37" t="s">
        <v>3936</v>
      </c>
      <c r="E248" s="43"/>
      <c r="F248" s="43"/>
      <c r="G248" s="956"/>
      <c r="H248" s="956"/>
      <c r="I248" s="43"/>
      <c r="J248" s="956"/>
      <c r="K248" s="43"/>
      <c r="L248" s="956"/>
      <c r="M248" s="956"/>
      <c r="O248" s="68" t="s">
        <v>1751</v>
      </c>
      <c r="P248" s="2928"/>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24" customHeight="1">
      <c r="A250" s="3111" t="s">
        <v>4715</v>
      </c>
      <c r="B250" s="3112"/>
      <c r="C250" s="3112"/>
      <c r="D250" s="3112"/>
      <c r="E250" s="3112"/>
      <c r="F250" s="3112"/>
      <c r="G250" s="3112"/>
      <c r="H250" s="3112"/>
      <c r="I250" s="3112"/>
      <c r="J250" s="3112"/>
      <c r="K250" s="3112"/>
      <c r="L250" s="3112"/>
      <c r="M250" s="3112"/>
      <c r="N250" s="3112"/>
      <c r="O250" s="3112"/>
      <c r="P250" s="3112"/>
      <c r="Q250" s="3113"/>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4.1" customHeight="1">
      <c r="A254" s="1586" t="s">
        <v>2801</v>
      </c>
      <c r="B254" s="4" t="s">
        <v>2679</v>
      </c>
      <c r="C254" s="4"/>
      <c r="D254" s="89"/>
      <c r="E254" s="89"/>
      <c r="F254" s="89"/>
      <c r="G254" s="89"/>
      <c r="H254" s="1592"/>
      <c r="I254" s="1592"/>
      <c r="J254" s="1592"/>
      <c r="K254" s="1592"/>
      <c r="L254" s="1939"/>
      <c r="M254" s="1940"/>
      <c r="O254" s="136" t="s">
        <v>1881</v>
      </c>
      <c r="P254" s="1897"/>
      <c r="Q254" s="1904"/>
    </row>
    <row r="255" spans="1:31" ht="5.0999999999999996" customHeight="1">
      <c r="L255" s="1939"/>
      <c r="M255" s="1940"/>
      <c r="N255" s="56"/>
    </row>
    <row r="256" spans="1:31" ht="11.45" customHeight="1">
      <c r="A256" s="48" t="s">
        <v>1999</v>
      </c>
      <c r="B256" s="53" t="s">
        <v>1280</v>
      </c>
      <c r="D256" s="43"/>
      <c r="E256" s="53"/>
      <c r="F256" s="53"/>
      <c r="J256" s="484" t="s">
        <v>1999</v>
      </c>
      <c r="K256" s="3126" t="s">
        <v>1784</v>
      </c>
      <c r="L256" s="3127"/>
      <c r="M256" s="3127"/>
      <c r="N256" s="3127"/>
      <c r="O256" s="3128"/>
      <c r="P256" s="1933" t="s">
        <v>1784</v>
      </c>
      <c r="Q256" s="1934"/>
    </row>
    <row r="257" spans="1:32" ht="11.45" customHeight="1">
      <c r="A257" s="48" t="s">
        <v>2001</v>
      </c>
      <c r="B257" s="53" t="s">
        <v>2831</v>
      </c>
      <c r="D257" s="53"/>
      <c r="E257" s="53"/>
      <c r="F257" s="53"/>
      <c r="J257" s="484" t="s">
        <v>2001</v>
      </c>
      <c r="K257" s="3173"/>
      <c r="L257" s="3174"/>
      <c r="M257" s="3174"/>
      <c r="N257" s="3174"/>
      <c r="O257" s="3175"/>
      <c r="P257" s="1935"/>
      <c r="Q257" s="1936"/>
    </row>
    <row r="258" spans="1:32" s="152" customFormat="1" ht="11.45" customHeight="1">
      <c r="A258" s="48"/>
      <c r="B258" s="53" t="s">
        <v>1960</v>
      </c>
      <c r="D258" s="53"/>
      <c r="E258" s="53"/>
      <c r="F258" s="53"/>
      <c r="K258" s="3159"/>
      <c r="L258" s="3160"/>
      <c r="M258" s="3160"/>
      <c r="N258" s="3160"/>
      <c r="O258" s="3161"/>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78"/>
      <c r="Q259" s="1005"/>
      <c r="AE259" s="488"/>
      <c r="AF259" s="488"/>
    </row>
    <row r="260" spans="1:32" s="152" customFormat="1" ht="11.45" customHeight="1">
      <c r="A260" s="48" t="s">
        <v>757</v>
      </c>
      <c r="B260" s="53" t="s">
        <v>3786</v>
      </c>
      <c r="D260" s="53"/>
      <c r="E260" s="53"/>
      <c r="F260" s="53"/>
      <c r="M260" s="37"/>
      <c r="N260" s="1091"/>
      <c r="O260" s="484" t="s">
        <v>757</v>
      </c>
      <c r="P260" s="2929"/>
      <c r="Q260" s="561"/>
      <c r="AE260" s="488"/>
      <c r="AF260" s="488"/>
    </row>
    <row r="261" spans="1:32" s="152" customFormat="1" ht="11.45" customHeight="1">
      <c r="A261" s="48"/>
      <c r="B261" s="53" t="s">
        <v>3785</v>
      </c>
      <c r="D261" s="53"/>
      <c r="E261" s="53"/>
      <c r="F261" s="53"/>
      <c r="K261" s="3126"/>
      <c r="L261" s="3127"/>
      <c r="M261" s="3127"/>
      <c r="N261" s="3127"/>
      <c r="O261" s="3128"/>
      <c r="P261" s="1931"/>
      <c r="Q261" s="1932"/>
      <c r="AE261" s="488"/>
      <c r="AF261" s="488"/>
    </row>
    <row r="262" spans="1:32" s="152" customFormat="1" ht="11.45" customHeight="1">
      <c r="A262" s="48" t="s">
        <v>2131</v>
      </c>
      <c r="B262" s="53" t="s">
        <v>3937</v>
      </c>
      <c r="D262" s="53"/>
      <c r="E262" s="53"/>
      <c r="F262" s="53"/>
      <c r="G262" s="53"/>
      <c r="H262" s="53"/>
      <c r="I262" s="97"/>
      <c r="J262" s="97"/>
      <c r="K262" s="97"/>
      <c r="M262" s="37"/>
      <c r="N262" s="1091"/>
      <c r="O262" s="484" t="s">
        <v>2131</v>
      </c>
      <c r="P262" s="2929"/>
      <c r="Q262" s="561"/>
      <c r="AE262" s="488"/>
      <c r="AF262" s="488"/>
    </row>
    <row r="263" spans="1:32" s="152" customFormat="1" ht="11.45" customHeight="1">
      <c r="A263" s="48"/>
      <c r="B263" s="1892" t="s">
        <v>3787</v>
      </c>
      <c r="C263" s="1892"/>
      <c r="D263" s="1892"/>
      <c r="E263" s="1892"/>
      <c r="F263" s="1892"/>
      <c r="G263" s="1892"/>
      <c r="H263" s="446" t="s">
        <v>4164</v>
      </c>
      <c r="K263" s="97"/>
      <c r="M263" s="37"/>
      <c r="N263" s="1091"/>
      <c r="O263" s="68" t="s">
        <v>1750</v>
      </c>
      <c r="P263" s="2935"/>
      <c r="Q263" s="562"/>
      <c r="AE263" s="488"/>
      <c r="AF263" s="488"/>
    </row>
    <row r="264" spans="1:32" s="152" customFormat="1" ht="11.45" customHeight="1">
      <c r="A264" s="48"/>
      <c r="B264" s="1892"/>
      <c r="C264" s="1892"/>
      <c r="D264" s="1892"/>
      <c r="E264" s="1892"/>
      <c r="F264" s="1892"/>
      <c r="G264" s="1892"/>
      <c r="H264" s="56" t="s">
        <v>4165</v>
      </c>
      <c r="K264" s="97"/>
      <c r="M264" s="37"/>
      <c r="N264" s="1091"/>
      <c r="O264" s="68" t="s">
        <v>1751</v>
      </c>
      <c r="P264" s="2935"/>
      <c r="Q264" s="562"/>
      <c r="AE264" s="488"/>
      <c r="AF264" s="488"/>
    </row>
    <row r="265" spans="1:32" s="152" customFormat="1" ht="11.45" customHeight="1">
      <c r="A265" s="48"/>
      <c r="B265" s="53"/>
      <c r="D265" s="53"/>
      <c r="E265" s="53"/>
      <c r="F265" s="53"/>
      <c r="G265" s="53"/>
      <c r="H265" s="56" t="s">
        <v>4166</v>
      </c>
      <c r="K265" s="97"/>
      <c r="M265" s="37"/>
      <c r="N265" s="1091"/>
      <c r="O265" s="68" t="s">
        <v>1752</v>
      </c>
      <c r="P265" s="2935"/>
      <c r="Q265" s="562"/>
      <c r="AE265" s="488"/>
      <c r="AF265" s="488"/>
    </row>
    <row r="266" spans="1:32" s="152" customFormat="1" ht="11.45" customHeight="1">
      <c r="A266" s="48"/>
      <c r="B266" s="53"/>
      <c r="D266" s="53"/>
      <c r="E266" s="53"/>
      <c r="F266" s="53"/>
      <c r="G266" s="53"/>
      <c r="H266" s="56" t="s">
        <v>4167</v>
      </c>
      <c r="K266" s="97"/>
      <c r="M266" s="37"/>
      <c r="N266" s="1091"/>
      <c r="O266" s="484" t="s">
        <v>2381</v>
      </c>
      <c r="P266" s="2928"/>
      <c r="Q266" s="563"/>
      <c r="AE266" s="488"/>
      <c r="AF266" s="488"/>
    </row>
    <row r="267" spans="1:32" s="152" customFormat="1" ht="22.35" customHeight="1">
      <c r="A267" s="146" t="s">
        <v>1748</v>
      </c>
      <c r="B267" s="1892" t="s">
        <v>3938</v>
      </c>
      <c r="C267" s="1892"/>
      <c r="D267" s="1892"/>
      <c r="E267" s="1892"/>
      <c r="F267" s="1892"/>
      <c r="G267" s="1892"/>
      <c r="H267" s="1892"/>
      <c r="I267" s="1892"/>
      <c r="J267" s="1892"/>
      <c r="K267" s="1892"/>
      <c r="L267" s="1892"/>
      <c r="M267" s="1892"/>
      <c r="N267" s="1892"/>
      <c r="O267" s="166" t="s">
        <v>1748</v>
      </c>
      <c r="P267" s="3176"/>
      <c r="Q267" s="1346"/>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35" customHeight="1">
      <c r="A269" s="3111" t="s">
        <v>4716</v>
      </c>
      <c r="B269" s="3112"/>
      <c r="C269" s="3112"/>
      <c r="D269" s="3112"/>
      <c r="E269" s="3112"/>
      <c r="F269" s="3112"/>
      <c r="G269" s="3112"/>
      <c r="H269" s="3112"/>
      <c r="I269" s="3112"/>
      <c r="J269" s="3112"/>
      <c r="K269" s="3112"/>
      <c r="L269" s="3112"/>
      <c r="M269" s="3112"/>
      <c r="N269" s="3112"/>
      <c r="O269" s="3112"/>
      <c r="P269" s="3112"/>
      <c r="Q269" s="3113"/>
      <c r="R269" s="461" t="s">
        <v>1266</v>
      </c>
      <c r="S269" s="462"/>
      <c r="U269" s="140"/>
      <c r="V269" s="140"/>
      <c r="W269" s="140"/>
      <c r="X269" s="140"/>
      <c r="Y269" s="140"/>
      <c r="Z269" s="140"/>
      <c r="AA269" s="140"/>
      <c r="AB269" s="140"/>
      <c r="AC269" s="140"/>
      <c r="AD269" s="140"/>
      <c r="AE269" s="486"/>
    </row>
    <row r="270" spans="1:32" ht="11.1" customHeight="1">
      <c r="B270" s="141" t="s">
        <v>1880</v>
      </c>
      <c r="C270" s="142"/>
      <c r="D270" s="1592"/>
      <c r="E270" s="1592"/>
      <c r="F270" s="1592"/>
      <c r="G270" s="1592"/>
      <c r="H270" s="1592"/>
      <c r="I270" s="1592"/>
      <c r="J270" s="1592"/>
      <c r="K270" s="1592"/>
      <c r="L270" s="1592"/>
      <c r="M270" s="1592"/>
      <c r="N270" s="1592"/>
      <c r="O270" s="1592"/>
      <c r="P270" s="1592"/>
      <c r="Q270" s="1592"/>
    </row>
    <row r="271" spans="1:32" ht="13.3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4.1"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3939</v>
      </c>
      <c r="C275" s="1892"/>
      <c r="D275" s="1892"/>
      <c r="E275" s="1892"/>
      <c r="F275" s="1892"/>
      <c r="G275" s="1892"/>
      <c r="H275" s="1892"/>
      <c r="I275" s="1892"/>
      <c r="J275" s="1892"/>
      <c r="K275" s="1892"/>
      <c r="L275" s="1892"/>
      <c r="M275" s="1892"/>
      <c r="N275" s="1892"/>
      <c r="O275" s="166" t="s">
        <v>1999</v>
      </c>
      <c r="P275" s="3069" t="s">
        <v>3011</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928" t="s">
        <v>3011</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928"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929" t="s">
        <v>3011</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928" t="s">
        <v>3011</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928" t="s">
        <v>3011</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13.35" customHeight="1">
      <c r="A282" s="3111" t="s">
        <v>4732</v>
      </c>
      <c r="B282" s="3112"/>
      <c r="C282" s="3112"/>
      <c r="D282" s="3112"/>
      <c r="E282" s="3112"/>
      <c r="F282" s="3112"/>
      <c r="G282" s="3112"/>
      <c r="H282" s="3112"/>
      <c r="I282" s="3112"/>
      <c r="J282" s="3112"/>
      <c r="K282" s="3112"/>
      <c r="L282" s="3112"/>
      <c r="M282" s="3112"/>
      <c r="N282" s="3112"/>
      <c r="O282" s="3112"/>
      <c r="P282" s="3112"/>
      <c r="Q282" s="3113"/>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35" customHeight="1">
      <c r="A284" s="1894"/>
      <c r="B284" s="1895"/>
      <c r="C284" s="1895"/>
      <c r="D284" s="1895"/>
      <c r="E284" s="1895"/>
      <c r="F284" s="1895"/>
      <c r="G284" s="1895"/>
      <c r="H284" s="1895"/>
      <c r="I284" s="1895"/>
      <c r="J284" s="1895"/>
      <c r="K284" s="1895"/>
      <c r="L284" s="1895"/>
      <c r="M284" s="1895"/>
      <c r="N284" s="1895"/>
      <c r="O284" s="1895"/>
      <c r="P284" s="1895"/>
      <c r="Q284" s="1896"/>
    </row>
    <row r="285" spans="1:32" ht="14.1" customHeight="1">
      <c r="A285" s="1586" t="s">
        <v>4150</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2832</v>
      </c>
      <c r="C287" s="1892"/>
      <c r="D287" s="1892"/>
      <c r="E287" s="1892"/>
      <c r="F287" s="1892"/>
      <c r="G287" s="1892"/>
      <c r="H287" s="1892"/>
      <c r="I287" s="1892"/>
      <c r="J287" s="1892"/>
      <c r="K287" s="1892"/>
      <c r="L287" s="1892"/>
      <c r="M287" s="1892"/>
      <c r="N287" s="1892"/>
      <c r="O287" s="166" t="s">
        <v>1999</v>
      </c>
      <c r="P287" s="3069" t="s">
        <v>4629</v>
      </c>
      <c r="Q287" s="1261"/>
      <c r="AE287" s="489"/>
      <c r="AF287" s="489"/>
    </row>
    <row r="288" spans="1:32" s="429" customFormat="1" ht="21.75" customHeight="1">
      <c r="A288" s="146" t="s">
        <v>2001</v>
      </c>
      <c r="B288" s="1892" t="s">
        <v>2833</v>
      </c>
      <c r="C288" s="1892"/>
      <c r="D288" s="1892"/>
      <c r="E288" s="1892"/>
      <c r="F288" s="1892"/>
      <c r="G288" s="1892"/>
      <c r="H288" s="1892"/>
      <c r="I288" s="1892"/>
      <c r="J288" s="1892"/>
      <c r="K288" s="1892"/>
      <c r="L288" s="1892"/>
      <c r="M288" s="1892"/>
      <c r="N288" s="1892"/>
      <c r="O288" s="166" t="s">
        <v>2001</v>
      </c>
      <c r="P288" s="3092" t="s">
        <v>4629</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13.35" customHeight="1">
      <c r="A290" s="3111" t="s">
        <v>4643</v>
      </c>
      <c r="B290" s="3112"/>
      <c r="C290" s="3112"/>
      <c r="D290" s="3112"/>
      <c r="E290" s="3112"/>
      <c r="F290" s="3112"/>
      <c r="G290" s="3112"/>
      <c r="H290" s="3112"/>
      <c r="I290" s="3112"/>
      <c r="J290" s="3112"/>
      <c r="K290" s="3112"/>
      <c r="L290" s="3112"/>
      <c r="M290" s="3112"/>
      <c r="N290" s="3112"/>
      <c r="O290" s="3112"/>
      <c r="P290" s="3112"/>
      <c r="Q290" s="3113"/>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35" customHeight="1">
      <c r="A292" s="1894"/>
      <c r="B292" s="1895"/>
      <c r="C292" s="1895"/>
      <c r="D292" s="1895"/>
      <c r="E292" s="1895"/>
      <c r="F292" s="1895"/>
      <c r="G292" s="1895"/>
      <c r="H292" s="1895"/>
      <c r="I292" s="1895"/>
      <c r="J292" s="1895"/>
      <c r="K292" s="1895"/>
      <c r="L292" s="1895"/>
      <c r="M292" s="1895"/>
      <c r="N292" s="1895"/>
      <c r="O292" s="1895"/>
      <c r="P292" s="1895"/>
      <c r="Q292" s="1896"/>
    </row>
    <row r="293" spans="1:33" ht="14.1" customHeight="1">
      <c r="A293" s="1586" t="s">
        <v>4151</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4170</v>
      </c>
    </row>
    <row r="295" spans="1:33" s="152" customFormat="1" ht="44.25" customHeight="1">
      <c r="A295" s="146"/>
      <c r="B295" s="154" t="s">
        <v>1750</v>
      </c>
      <c r="C295" s="1892" t="s">
        <v>3941</v>
      </c>
      <c r="D295" s="1892"/>
      <c r="E295" s="1892"/>
      <c r="F295" s="1892"/>
      <c r="G295" s="1892"/>
      <c r="H295" s="1892"/>
      <c r="I295" s="1892"/>
      <c r="J295" s="1892"/>
      <c r="K295" s="1892"/>
      <c r="L295" s="1892"/>
      <c r="M295" s="1892"/>
      <c r="N295" s="1892"/>
      <c r="O295" s="166" t="s">
        <v>2745</v>
      </c>
      <c r="P295" s="3069" t="s">
        <v>3011</v>
      </c>
      <c r="Q295" s="1261"/>
      <c r="AE295" s="488"/>
      <c r="AF295" s="488"/>
    </row>
    <row r="296" spans="1:33" s="429" customFormat="1" ht="12" customHeight="1">
      <c r="A296" s="146"/>
      <c r="B296" s="154" t="s">
        <v>1751</v>
      </c>
      <c r="C296" s="1892" t="s">
        <v>3942</v>
      </c>
      <c r="D296" s="1892"/>
      <c r="E296" s="1892"/>
      <c r="F296" s="1892"/>
      <c r="G296" s="1892"/>
      <c r="H296" s="1892"/>
      <c r="I296" s="1892"/>
      <c r="J296" s="1892"/>
      <c r="K296" s="1892"/>
      <c r="L296" s="1892"/>
      <c r="M296" s="1892"/>
      <c r="N296" s="1892"/>
      <c r="O296" s="154" t="s">
        <v>1751</v>
      </c>
      <c r="P296" s="3145" t="s">
        <v>3011</v>
      </c>
      <c r="Q296" s="564"/>
      <c r="AE296" s="489"/>
      <c r="AF296" s="489"/>
    </row>
    <row r="297" spans="1:33" s="429" customFormat="1" ht="21.75" customHeight="1">
      <c r="A297" s="146"/>
      <c r="B297" s="166" t="s">
        <v>1752</v>
      </c>
      <c r="C297" s="1892" t="s">
        <v>3940</v>
      </c>
      <c r="D297" s="1892"/>
      <c r="E297" s="1892"/>
      <c r="F297" s="1892"/>
      <c r="G297" s="1892"/>
      <c r="H297" s="1892"/>
      <c r="I297" s="1892"/>
      <c r="J297" s="1892"/>
      <c r="K297" s="1892"/>
      <c r="L297" s="1892"/>
      <c r="M297" s="1892"/>
      <c r="N297" s="1892"/>
      <c r="O297" s="166" t="s">
        <v>1752</v>
      </c>
      <c r="P297" s="3092"/>
      <c r="Q297" s="1282"/>
      <c r="AE297" s="489"/>
      <c r="AF297" s="489"/>
    </row>
    <row r="298" spans="1:33" s="97" customFormat="1" ht="12.75" customHeight="1">
      <c r="A298" s="15" t="s">
        <v>2001</v>
      </c>
      <c r="B298" s="1586" t="s">
        <v>3906</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3776</v>
      </c>
      <c r="D299" s="1892"/>
      <c r="E299" s="1892"/>
      <c r="F299" s="1892"/>
      <c r="G299" s="1892"/>
      <c r="H299" s="1892"/>
      <c r="I299" s="144"/>
      <c r="J299" s="1901" t="s">
        <v>3821</v>
      </c>
      <c r="K299" s="1902"/>
      <c r="L299" s="1902"/>
      <c r="M299" s="1903" t="s">
        <v>3789</v>
      </c>
      <c r="N299" s="1903"/>
      <c r="AE299" s="490"/>
      <c r="AF299" s="490"/>
    </row>
    <row r="300" spans="1:33" s="305" customFormat="1" ht="10.5" customHeight="1">
      <c r="A300" s="317"/>
      <c r="C300" s="1892"/>
      <c r="D300" s="1892"/>
      <c r="E300" s="1892"/>
      <c r="F300" s="1892"/>
      <c r="G300" s="1892"/>
      <c r="H300" s="1892"/>
      <c r="I300" s="1571"/>
      <c r="J300" s="1902"/>
      <c r="K300" s="1902"/>
      <c r="L300" s="1902"/>
      <c r="M300" s="37" t="s">
        <v>3790</v>
      </c>
      <c r="N300" s="1589" t="s">
        <v>3820</v>
      </c>
      <c r="P300" s="315"/>
    </row>
    <row r="301" spans="1:33" s="305" customFormat="1" ht="13.35" customHeight="1">
      <c r="A301" s="317"/>
      <c r="C301" s="1892"/>
      <c r="D301" s="1892"/>
      <c r="E301" s="1892"/>
      <c r="F301" s="1892"/>
      <c r="G301" s="1892"/>
      <c r="H301" s="1892"/>
      <c r="I301" s="53" t="s">
        <v>4171</v>
      </c>
      <c r="K301" s="3177">
        <v>3</v>
      </c>
      <c r="L301" s="1086" t="str">
        <f>IF(K301&lt;M301,"Check!!!","")</f>
        <v/>
      </c>
      <c r="M301" s="1087">
        <f>ROUNDUP('Part VI-Revenues &amp; Expenses'!$O$62*'Part VIII-Threshold Criteria'!N301,0)</f>
        <v>3</v>
      </c>
      <c r="N301" s="1092">
        <f>'DCA Underwriting Assumptions'!$Q$136</f>
        <v>0.05</v>
      </c>
      <c r="O301" s="484" t="s">
        <v>3664</v>
      </c>
      <c r="P301" s="2997"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3777</v>
      </c>
      <c r="D303" s="1892"/>
      <c r="E303" s="1892"/>
      <c r="F303" s="1892"/>
      <c r="G303" s="1892"/>
      <c r="H303" s="1892"/>
      <c r="I303" s="938" t="s">
        <v>4172</v>
      </c>
      <c r="J303" s="305"/>
      <c r="K303" s="3177">
        <v>2</v>
      </c>
      <c r="L303" s="1086" t="str">
        <f>IF(K303&lt;M303,"Check!!!","")</f>
        <v/>
      </c>
      <c r="M303" s="1087">
        <f>ROUNDUP(K301*'Part VIII-Threshold Criteria'!N303,0)</f>
        <v>2</v>
      </c>
      <c r="N303" s="1092">
        <f>'DCA Underwriting Assumptions'!$Q$137</f>
        <v>0.4</v>
      </c>
      <c r="O303" s="484" t="s">
        <v>2133</v>
      </c>
      <c r="P303" s="2997"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3778</v>
      </c>
      <c r="D305" s="1892"/>
      <c r="E305" s="1892"/>
      <c r="F305" s="1892"/>
      <c r="G305" s="1892"/>
      <c r="H305" s="1892"/>
      <c r="I305" s="53" t="s">
        <v>4173</v>
      </c>
      <c r="J305" s="305"/>
      <c r="K305" s="3177">
        <v>1</v>
      </c>
      <c r="L305" s="1086" t="str">
        <f>IF(K305&lt;M305,"Check!!!","")</f>
        <v/>
      </c>
      <c r="M305" s="1087">
        <f>ROUNDUP('Part VI-Revenues &amp; Expenses'!$O$62*'Part VIII-Threshold Criteria'!N305,0)</f>
        <v>1</v>
      </c>
      <c r="N305" s="1092">
        <f>'DCA Underwriting Assumptions'!$Q$138</f>
        <v>0.02</v>
      </c>
      <c r="O305" s="484" t="s">
        <v>1751</v>
      </c>
      <c r="P305" s="2997"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3907</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5" t="s">
        <v>3011</v>
      </c>
      <c r="Q309" s="1262"/>
      <c r="AE309" s="490"/>
      <c r="AF309" s="490"/>
    </row>
    <row r="310" spans="1:33" s="97" customFormat="1" ht="11.25" customHeight="1">
      <c r="B310" s="405" t="s">
        <v>3667</v>
      </c>
      <c r="D310" s="405"/>
      <c r="E310" s="405"/>
      <c r="F310" s="405"/>
      <c r="G310" s="405"/>
      <c r="H310" s="405"/>
      <c r="I310" s="405" t="s">
        <v>3788</v>
      </c>
      <c r="J310" s="405"/>
      <c r="K310" s="405"/>
      <c r="L310" s="3178" t="s">
        <v>4641</v>
      </c>
      <c r="M310" s="3179"/>
      <c r="N310" s="3180"/>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69" t="s">
        <v>3011</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45" t="s">
        <v>3011</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45" t="s">
        <v>3011</v>
      </c>
      <c r="Q313" s="564"/>
      <c r="AE313" s="489"/>
      <c r="AF313" s="489"/>
    </row>
    <row r="314" spans="1:33" s="429" customFormat="1" ht="32.25" customHeight="1">
      <c r="B314" s="166" t="s">
        <v>2381</v>
      </c>
      <c r="C314" s="1892" t="s">
        <v>3669</v>
      </c>
      <c r="D314" s="1892"/>
      <c r="E314" s="1892"/>
      <c r="F314" s="1892"/>
      <c r="G314" s="1892"/>
      <c r="H314" s="1892"/>
      <c r="I314" s="1892"/>
      <c r="J314" s="1892"/>
      <c r="K314" s="1892"/>
      <c r="L314" s="1892"/>
      <c r="M314" s="1892"/>
      <c r="N314" s="1892"/>
      <c r="O314" s="166" t="s">
        <v>3673</v>
      </c>
      <c r="P314" s="3092" t="s">
        <v>3011</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3111" t="s">
        <v>4642</v>
      </c>
      <c r="B316" s="3112"/>
      <c r="C316" s="3112"/>
      <c r="D316" s="3112"/>
      <c r="E316" s="3112"/>
      <c r="F316" s="3112"/>
      <c r="G316" s="3112"/>
      <c r="H316" s="3112"/>
      <c r="I316" s="3112"/>
      <c r="J316" s="3112"/>
      <c r="K316" s="3112"/>
      <c r="L316" s="3112"/>
      <c r="M316" s="3112"/>
      <c r="N316" s="3112"/>
      <c r="O316" s="3112"/>
      <c r="P316" s="3112"/>
      <c r="Q316" s="3113"/>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4.1" customHeight="1">
      <c r="A319" s="1586" t="s">
        <v>4149</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3014</v>
      </c>
      <c r="Q320" s="561"/>
    </row>
    <row r="321" spans="1:256 1523:1523" ht="12" customHeight="1">
      <c r="B321" s="932" t="s">
        <v>2227</v>
      </c>
      <c r="C321" s="932"/>
      <c r="D321" s="932"/>
      <c r="E321" s="932"/>
      <c r="F321" s="932"/>
      <c r="G321" s="932"/>
      <c r="H321" s="932"/>
      <c r="I321" s="932"/>
      <c r="J321" s="932"/>
      <c r="K321" s="932"/>
      <c r="L321" s="932"/>
      <c r="P321" s="2928"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1"/>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2" t="s">
        <v>3944</v>
      </c>
      <c r="H325" s="3183"/>
      <c r="I325" s="3183"/>
      <c r="J325" s="3183"/>
      <c r="K325" s="3183"/>
      <c r="L325" s="3183"/>
      <c r="M325" s="3183"/>
      <c r="N325" s="3184"/>
      <c r="O325" s="224" t="s">
        <v>1750</v>
      </c>
      <c r="P325" s="3069" t="s">
        <v>3011</v>
      </c>
      <c r="Q325" s="1261"/>
      <c r="BFO325" s="152" t="s">
        <v>2746</v>
      </c>
    </row>
    <row r="326" spans="1:256 1523:1523" ht="23.25" customHeight="1">
      <c r="B326" s="220" t="s">
        <v>1751</v>
      </c>
      <c r="C326" s="1892" t="s">
        <v>1142</v>
      </c>
      <c r="D326" s="1892"/>
      <c r="E326" s="1892"/>
      <c r="F326" s="1899"/>
      <c r="G326" s="3170" t="s">
        <v>3791</v>
      </c>
      <c r="H326" s="3185"/>
      <c r="I326" s="3185"/>
      <c r="J326" s="3185"/>
      <c r="K326" s="3185"/>
      <c r="L326" s="3185"/>
      <c r="M326" s="3185"/>
      <c r="N326" s="3186"/>
      <c r="O326" s="224" t="s">
        <v>1751</v>
      </c>
      <c r="P326" s="3092"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7"/>
      <c r="D329" s="3168"/>
      <c r="E329" s="3168"/>
      <c r="F329" s="3168"/>
      <c r="G329" s="3168"/>
      <c r="H329" s="3168"/>
      <c r="I329" s="3168"/>
      <c r="J329" s="3168"/>
      <c r="K329" s="3168"/>
      <c r="L329" s="3168"/>
      <c r="M329" s="3168"/>
      <c r="N329" s="3169"/>
      <c r="O329" s="224" t="s">
        <v>1750</v>
      </c>
      <c r="P329" s="3069" t="s">
        <v>3014</v>
      </c>
      <c r="Q329" s="1261"/>
      <c r="AE329" s="487"/>
      <c r="AF329" s="487"/>
    </row>
    <row r="330" spans="1:256 1523:1523" s="137" customFormat="1" ht="11.25" customHeight="1">
      <c r="A330" s="148"/>
      <c r="B330" s="220" t="s">
        <v>1751</v>
      </c>
      <c r="C330" s="3170"/>
      <c r="D330" s="3171"/>
      <c r="E330" s="3171"/>
      <c r="F330" s="3171"/>
      <c r="G330" s="3171"/>
      <c r="H330" s="3171"/>
      <c r="I330" s="3171"/>
      <c r="J330" s="3171"/>
      <c r="K330" s="3171"/>
      <c r="L330" s="3171"/>
      <c r="M330" s="3171"/>
      <c r="N330" s="3172"/>
      <c r="O330" s="224" t="s">
        <v>1751</v>
      </c>
      <c r="P330" s="3092" t="s">
        <v>3014</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24" customHeight="1">
      <c r="A333" s="3111" t="s">
        <v>4717</v>
      </c>
      <c r="B333" s="3112"/>
      <c r="C333" s="3112"/>
      <c r="D333" s="3112"/>
      <c r="E333" s="3112"/>
      <c r="F333" s="3112"/>
      <c r="G333" s="3112"/>
      <c r="H333" s="3112"/>
      <c r="I333" s="3112"/>
      <c r="J333" s="3112"/>
      <c r="K333" s="3112"/>
      <c r="L333" s="3112"/>
      <c r="M333" s="3112"/>
      <c r="N333" s="3112"/>
      <c r="O333" s="3112"/>
      <c r="P333" s="3112"/>
      <c r="Q333" s="3113"/>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4.1" customHeight="1">
      <c r="A336" s="1586" t="s">
        <v>4152</v>
      </c>
      <c r="B336" s="1586" t="s">
        <v>4191</v>
      </c>
      <c r="C336" s="1586"/>
      <c r="D336" s="1592"/>
      <c r="E336" s="1592"/>
      <c r="F336" s="1592"/>
      <c r="G336" s="1592"/>
      <c r="H336" s="1592"/>
      <c r="O336" s="136" t="s">
        <v>1881</v>
      </c>
      <c r="P336" s="1897"/>
      <c r="Q336" s="1904"/>
    </row>
    <row r="337" spans="1:31" ht="11.45" customHeight="1">
      <c r="A337" s="48" t="s">
        <v>1999</v>
      </c>
      <c r="B337" s="56" t="s">
        <v>3946</v>
      </c>
      <c r="O337" s="166" t="s">
        <v>1999</v>
      </c>
      <c r="P337" s="2997" t="s">
        <v>3011</v>
      </c>
      <c r="Q337" s="560"/>
    </row>
    <row r="338" spans="1:31" ht="11.45" customHeight="1">
      <c r="A338" s="146" t="s">
        <v>2001</v>
      </c>
      <c r="B338" s="56" t="s">
        <v>4136</v>
      </c>
      <c r="O338" s="166" t="s">
        <v>2001</v>
      </c>
      <c r="P338" s="2929" t="s">
        <v>3011</v>
      </c>
      <c r="Q338" s="561"/>
    </row>
    <row r="339" spans="1:31" ht="11.45" customHeight="1">
      <c r="A339" s="146" t="s">
        <v>757</v>
      </c>
      <c r="B339" s="149" t="s">
        <v>2366</v>
      </c>
      <c r="O339" s="166" t="s">
        <v>757</v>
      </c>
      <c r="P339" s="2935" t="s">
        <v>3014</v>
      </c>
      <c r="Q339" s="562"/>
    </row>
    <row r="340" spans="1:31" ht="11.45" customHeight="1">
      <c r="A340" s="48" t="s">
        <v>2131</v>
      </c>
      <c r="B340" s="56" t="s">
        <v>3870</v>
      </c>
      <c r="O340" s="484" t="s">
        <v>2131</v>
      </c>
      <c r="P340" s="2928" t="s">
        <v>3014</v>
      </c>
      <c r="Q340" s="563"/>
    </row>
    <row r="341" spans="1:31" ht="11.45" customHeight="1">
      <c r="A341" s="146" t="s">
        <v>1748</v>
      </c>
      <c r="B341" s="56" t="s">
        <v>2903</v>
      </c>
      <c r="N341" s="166" t="s">
        <v>1748</v>
      </c>
      <c r="O341" s="3187" t="s">
        <v>3864</v>
      </c>
      <c r="P341" s="3188"/>
      <c r="Q341" s="3189"/>
    </row>
    <row r="342" spans="1:31" ht="11.45" customHeight="1">
      <c r="A342" s="146" t="s">
        <v>1749</v>
      </c>
      <c r="B342" s="425" t="s">
        <v>2367</v>
      </c>
      <c r="N342" s="166" t="s">
        <v>1749</v>
      </c>
      <c r="O342" s="1923" t="s">
        <v>2904</v>
      </c>
      <c r="P342" s="1924"/>
      <c r="Q342" s="192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23.1" customHeight="1">
      <c r="A344" s="3111" t="s">
        <v>4718</v>
      </c>
      <c r="B344" s="3112"/>
      <c r="C344" s="3112"/>
      <c r="D344" s="3112"/>
      <c r="E344" s="3112"/>
      <c r="F344" s="3112"/>
      <c r="G344" s="3112"/>
      <c r="H344" s="3112"/>
      <c r="I344" s="3112"/>
      <c r="J344" s="3112"/>
      <c r="K344" s="3112"/>
      <c r="L344" s="3112"/>
      <c r="M344" s="3112"/>
      <c r="N344" s="3112"/>
      <c r="O344" s="3112"/>
      <c r="P344" s="3112"/>
      <c r="Q344" s="3113"/>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35" customHeight="1">
      <c r="A346" s="1894"/>
      <c r="B346" s="1895"/>
      <c r="C346" s="1895"/>
      <c r="D346" s="1895"/>
      <c r="E346" s="1895"/>
      <c r="F346" s="1895"/>
      <c r="G346" s="1895"/>
      <c r="H346" s="1895"/>
      <c r="I346" s="1895"/>
      <c r="J346" s="1895"/>
      <c r="K346" s="1895"/>
      <c r="L346" s="1895"/>
      <c r="M346" s="1895"/>
      <c r="N346" s="1895"/>
      <c r="O346" s="1895"/>
      <c r="P346" s="1895"/>
      <c r="Q346" s="1896"/>
    </row>
    <row r="347" spans="1:31" ht="14.1" customHeight="1">
      <c r="A347" s="1586" t="s">
        <v>4153</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3682</v>
      </c>
      <c r="D348" s="144"/>
      <c r="E348" s="144"/>
      <c r="F348" s="144"/>
      <c r="G348" s="144"/>
      <c r="H348" s="144"/>
      <c r="I348" s="144"/>
      <c r="J348" s="144"/>
      <c r="K348" s="144"/>
      <c r="L348" s="144"/>
      <c r="M348" s="144"/>
      <c r="N348" s="144"/>
      <c r="O348" s="166" t="s">
        <v>1999</v>
      </c>
      <c r="P348" s="2929" t="s">
        <v>3011</v>
      </c>
      <c r="Q348" s="561"/>
    </row>
    <row r="349" spans="1:31" ht="12.75" customHeight="1">
      <c r="A349" s="146" t="s">
        <v>2001</v>
      </c>
      <c r="B349" s="144" t="s">
        <v>3879</v>
      </c>
      <c r="D349" s="144"/>
      <c r="E349" s="144"/>
      <c r="F349" s="144"/>
      <c r="G349" s="144"/>
      <c r="H349" s="144"/>
      <c r="I349" s="144"/>
      <c r="J349" s="144"/>
      <c r="K349" s="144"/>
      <c r="L349" s="144"/>
      <c r="M349" s="144"/>
      <c r="N349" s="144"/>
      <c r="O349" s="166" t="s">
        <v>2001</v>
      </c>
      <c r="P349" s="2935" t="s">
        <v>3014</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928" t="s">
        <v>3011</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21.95" customHeight="1">
      <c r="A352" s="3111" t="s">
        <v>4719</v>
      </c>
      <c r="B352" s="3112"/>
      <c r="C352" s="3112"/>
      <c r="D352" s="3112"/>
      <c r="E352" s="3112"/>
      <c r="F352" s="3112"/>
      <c r="G352" s="3112"/>
      <c r="H352" s="3112"/>
      <c r="I352" s="3112"/>
      <c r="J352" s="3112"/>
      <c r="K352" s="3112"/>
      <c r="L352" s="3112"/>
      <c r="M352" s="3112"/>
      <c r="N352" s="3112"/>
      <c r="O352" s="3112"/>
      <c r="P352" s="3112"/>
      <c r="Q352" s="3113"/>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4.1" customHeight="1">
      <c r="A356" s="1586" t="s">
        <v>4156</v>
      </c>
      <c r="B356" s="4" t="s">
        <v>4123</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4124</v>
      </c>
      <c r="D357" s="155"/>
      <c r="E357" s="155"/>
      <c r="F357" s="155"/>
      <c r="G357" s="155"/>
      <c r="H357" s="484" t="s">
        <v>1999</v>
      </c>
      <c r="I357" s="3126"/>
      <c r="J357" s="3127"/>
      <c r="K357" s="3127"/>
      <c r="L357" s="3127"/>
      <c r="M357" s="3127"/>
      <c r="N357" s="3127"/>
      <c r="O357" s="3127"/>
      <c r="P357" s="3128"/>
      <c r="Q357" s="559"/>
    </row>
    <row r="358" spans="1:32" ht="10.5" customHeight="1">
      <c r="A358" s="146" t="s">
        <v>2001</v>
      </c>
      <c r="B358" s="139" t="s">
        <v>4125</v>
      </c>
      <c r="D358" s="155"/>
      <c r="E358" s="155"/>
      <c r="F358" s="155"/>
      <c r="G358" s="155"/>
      <c r="H358" s="166" t="s">
        <v>2001</v>
      </c>
      <c r="I358" s="3126"/>
      <c r="J358" s="3127"/>
      <c r="K358" s="3127"/>
      <c r="L358" s="3127"/>
      <c r="M358" s="3127"/>
      <c r="N358" s="3127"/>
      <c r="O358" s="3127"/>
      <c r="P358" s="3128"/>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3100"/>
      <c r="Q359" s="1261"/>
    </row>
    <row r="360" spans="1:32" ht="21.75" customHeight="1">
      <c r="A360" s="146" t="s">
        <v>2131</v>
      </c>
      <c r="B360" s="1892" t="s">
        <v>4116</v>
      </c>
      <c r="C360" s="1892"/>
      <c r="D360" s="1892"/>
      <c r="E360" s="1892"/>
      <c r="F360" s="1892"/>
      <c r="G360" s="1892"/>
      <c r="H360" s="1892"/>
      <c r="I360" s="1892"/>
      <c r="J360" s="1892"/>
      <c r="K360" s="1892"/>
      <c r="L360" s="1892"/>
      <c r="M360" s="1892"/>
      <c r="N360" s="1892"/>
      <c r="O360" s="484" t="s">
        <v>2131</v>
      </c>
      <c r="P360" s="3145"/>
      <c r="Q360" s="564"/>
    </row>
    <row r="361" spans="1:32" ht="10.5" customHeight="1">
      <c r="A361" s="146" t="s">
        <v>1748</v>
      </c>
      <c r="B361" s="53" t="s">
        <v>4117</v>
      </c>
      <c r="D361" s="53"/>
      <c r="E361" s="53"/>
      <c r="F361" s="53"/>
      <c r="G361" s="53"/>
      <c r="H361" s="53"/>
      <c r="I361" s="53"/>
      <c r="J361" s="53"/>
      <c r="K361" s="53"/>
      <c r="L361" s="53"/>
      <c r="M361" s="53"/>
      <c r="O361" s="166" t="s">
        <v>1748</v>
      </c>
      <c r="P361" s="2935"/>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3190"/>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3069"/>
      <c r="Q363" s="1261"/>
      <c r="AE363" s="487"/>
      <c r="AF363" s="487"/>
    </row>
    <row r="364" spans="1:32" s="137" customFormat="1" ht="10.5" customHeight="1">
      <c r="C364" s="932" t="s">
        <v>3859</v>
      </c>
      <c r="E364" s="1592"/>
      <c r="F364" s="1592"/>
      <c r="G364" s="1592"/>
      <c r="H364" s="1592"/>
      <c r="I364" s="1592"/>
      <c r="J364" s="1592"/>
      <c r="K364" s="1592"/>
      <c r="L364" s="1592"/>
      <c r="M364" s="1592"/>
      <c r="N364" s="1592"/>
      <c r="P364" s="3092"/>
      <c r="Q364" s="1282"/>
      <c r="AE364" s="487"/>
      <c r="AF364" s="487"/>
    </row>
    <row r="365" spans="1:32" ht="21.75" customHeight="1">
      <c r="A365" s="146" t="s">
        <v>3392</v>
      </c>
      <c r="B365" s="1892" t="s">
        <v>4120</v>
      </c>
      <c r="C365" s="1892"/>
      <c r="D365" s="1892"/>
      <c r="E365" s="1892"/>
      <c r="F365" s="1892"/>
      <c r="G365" s="1892"/>
      <c r="H365" s="1892"/>
      <c r="I365" s="1892"/>
      <c r="J365" s="1892"/>
      <c r="K365" s="1892"/>
      <c r="L365" s="1892"/>
      <c r="M365" s="1892"/>
      <c r="N365" s="1892"/>
      <c r="O365" s="166" t="s">
        <v>3392</v>
      </c>
      <c r="P365" s="3069"/>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3092"/>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3111" t="s">
        <v>4695</v>
      </c>
      <c r="B368" s="3112"/>
      <c r="C368" s="3112"/>
      <c r="D368" s="3112"/>
      <c r="E368" s="3112"/>
      <c r="F368" s="3112"/>
      <c r="G368" s="3112"/>
      <c r="H368" s="3112"/>
      <c r="I368" s="3112"/>
      <c r="J368" s="3112"/>
      <c r="K368" s="3112"/>
      <c r="L368" s="3112"/>
      <c r="M368" s="3112"/>
      <c r="N368" s="3112"/>
      <c r="O368" s="3112"/>
      <c r="P368" s="3112"/>
      <c r="Q368" s="3113"/>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4.1" customHeight="1">
      <c r="A372" s="1586" t="s">
        <v>4157</v>
      </c>
      <c r="B372" s="4" t="s">
        <v>3947</v>
      </c>
      <c r="C372" s="4"/>
      <c r="D372" s="4"/>
      <c r="E372" s="4"/>
      <c r="F372" s="4"/>
      <c r="G372" s="4"/>
      <c r="H372" s="1592"/>
      <c r="I372" s="1592"/>
      <c r="J372" s="1592"/>
      <c r="O372" s="136" t="s">
        <v>1881</v>
      </c>
      <c r="P372" s="1897"/>
      <c r="Q372" s="1904"/>
    </row>
    <row r="373" spans="1:32" s="43" customFormat="1" ht="10.5" customHeight="1">
      <c r="A373" s="48" t="s">
        <v>1999</v>
      </c>
      <c r="B373" s="656" t="s">
        <v>3949</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3126"/>
      <c r="H374" s="3127"/>
      <c r="I374" s="3128"/>
      <c r="J374" s="1589" t="s">
        <v>3956</v>
      </c>
      <c r="K374" s="3126"/>
      <c r="L374" s="3127"/>
      <c r="M374" s="3128"/>
      <c r="N374" s="1907" t="s">
        <v>3948</v>
      </c>
      <c r="O374" s="1908"/>
      <c r="P374" s="3191"/>
      <c r="Q374" s="3192"/>
      <c r="AE374" s="51"/>
      <c r="AF374" s="51"/>
    </row>
    <row r="375" spans="1:32" s="43" customFormat="1" ht="10.5" customHeight="1">
      <c r="B375" s="37" t="s">
        <v>1751</v>
      </c>
      <c r="C375" s="53" t="s">
        <v>3950</v>
      </c>
      <c r="I375" s="484" t="s">
        <v>1751</v>
      </c>
      <c r="J375" s="3193"/>
      <c r="K375" s="3194"/>
      <c r="AE375" s="51"/>
      <c r="AF375" s="51"/>
    </row>
    <row r="376" spans="1:32" s="43" customFormat="1" ht="10.5" customHeight="1">
      <c r="A376" s="48"/>
      <c r="B376" s="37" t="s">
        <v>1752</v>
      </c>
      <c r="C376" s="53" t="s">
        <v>3951</v>
      </c>
      <c r="D376" s="47"/>
      <c r="E376" s="138"/>
      <c r="F376" s="1911" t="str">
        <f>'Part I-Project Information'!K40</f>
        <v>Urban</v>
      </c>
      <c r="G376" s="1912"/>
      <c r="H376" s="1594" t="s">
        <v>3952</v>
      </c>
      <c r="I376" s="138"/>
      <c r="J376" s="138"/>
      <c r="K376" s="138"/>
      <c r="L376" s="138"/>
      <c r="M376" s="138"/>
      <c r="N376" s="138"/>
      <c r="O376" s="484" t="s">
        <v>1752</v>
      </c>
      <c r="P376" s="2929"/>
      <c r="Q376" s="561"/>
      <c r="AE376" s="51"/>
      <c r="AF376" s="51"/>
    </row>
    <row r="377" spans="1:32" s="43" customFormat="1" ht="10.5" customHeight="1">
      <c r="A377" s="48"/>
      <c r="B377" s="37" t="s">
        <v>2381</v>
      </c>
      <c r="C377" s="53" t="s">
        <v>3953</v>
      </c>
      <c r="E377" s="138"/>
      <c r="F377" s="138"/>
      <c r="G377" s="138"/>
      <c r="H377" s="138"/>
      <c r="I377" s="138"/>
      <c r="J377" s="3195"/>
      <c r="K377" s="3196"/>
      <c r="L377" s="1913"/>
      <c r="M377" s="1914"/>
      <c r="N377" s="53" t="s">
        <v>3963</v>
      </c>
      <c r="O377" s="484"/>
      <c r="P377" s="2935"/>
      <c r="Q377" s="562"/>
      <c r="AE377" s="51"/>
      <c r="AF377" s="51"/>
    </row>
    <row r="378" spans="1:32" s="43" customFormat="1" ht="10.5" customHeight="1">
      <c r="A378" s="48"/>
      <c r="B378" s="37" t="s">
        <v>1561</v>
      </c>
      <c r="C378" s="53" t="s">
        <v>3954</v>
      </c>
      <c r="E378" s="53"/>
      <c r="F378" s="1909">
        <f>'Part IV-A-Uses of Funds'!J173</f>
        <v>714000</v>
      </c>
      <c r="G378" s="1910"/>
      <c r="H378" s="53" t="s">
        <v>3955</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3957</v>
      </c>
      <c r="E379" s="53"/>
      <c r="F379" s="53"/>
      <c r="G379" s="53"/>
      <c r="H379" s="53" t="s">
        <v>3618</v>
      </c>
      <c r="I379" s="53"/>
      <c r="J379" s="3195"/>
      <c r="K379" s="3196"/>
      <c r="L379" s="53" t="s">
        <v>3958</v>
      </c>
      <c r="M379" s="1913"/>
      <c r="N379" s="1914"/>
      <c r="AE379" s="51"/>
      <c r="AF379" s="51"/>
    </row>
    <row r="380" spans="1:32" s="43" customFormat="1" ht="10.5" customHeight="1">
      <c r="B380" s="37" t="s">
        <v>99</v>
      </c>
      <c r="C380" s="53" t="s">
        <v>3959</v>
      </c>
      <c r="E380" s="138"/>
      <c r="F380" s="138"/>
      <c r="G380" s="138"/>
      <c r="H380" s="138"/>
      <c r="I380" s="138"/>
      <c r="J380" s="138"/>
      <c r="K380" s="138"/>
      <c r="L380" s="138"/>
      <c r="M380" s="138"/>
      <c r="N380" s="138"/>
      <c r="O380" s="484" t="s">
        <v>99</v>
      </c>
      <c r="P380" s="2997"/>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3960</v>
      </c>
      <c r="D382" s="138"/>
      <c r="E382" s="138"/>
      <c r="F382" s="138"/>
      <c r="G382" s="138"/>
      <c r="H382" s="138"/>
      <c r="J382" s="1919" t="s">
        <v>3965</v>
      </c>
      <c r="K382" s="1919"/>
      <c r="L382" s="1919"/>
      <c r="M382" s="1919"/>
      <c r="N382" s="1917" t="s">
        <v>3962</v>
      </c>
      <c r="O382" s="1917"/>
      <c r="P382" s="138"/>
      <c r="Q382" s="138"/>
      <c r="R382" s="138"/>
      <c r="AE382" s="51"/>
      <c r="AF382" s="51"/>
    </row>
    <row r="383" spans="1:32" s="43" customFormat="1" ht="10.5" customHeight="1">
      <c r="B383" s="37" t="s">
        <v>1750</v>
      </c>
      <c r="C383" s="956" t="s">
        <v>3961</v>
      </c>
      <c r="E383" s="1594"/>
      <c r="F383" s="1594"/>
      <c r="G383" s="1594"/>
      <c r="H383" s="1594"/>
      <c r="J383" s="3197"/>
      <c r="K383" s="3198"/>
      <c r="L383" s="1915"/>
      <c r="M383" s="1916"/>
      <c r="N383" s="1208" t="str">
        <f>IF(J383="","",J377/J383)</f>
        <v/>
      </c>
      <c r="O383" s="1209" t="str">
        <f>IF(L383="","",L377/L383)</f>
        <v/>
      </c>
      <c r="P383" s="2929"/>
      <c r="Q383" s="561"/>
      <c r="AE383" s="51"/>
      <c r="AF383" s="51"/>
    </row>
    <row r="384" spans="1:32" s="43" customFormat="1" ht="10.5" customHeight="1">
      <c r="B384" s="37" t="s">
        <v>1751</v>
      </c>
      <c r="C384" s="53" t="s">
        <v>3964</v>
      </c>
      <c r="E384" s="138"/>
      <c r="F384" s="138"/>
      <c r="G384" s="138"/>
      <c r="H384" s="138"/>
      <c r="N384" s="138"/>
      <c r="O384" s="484" t="s">
        <v>1751</v>
      </c>
      <c r="P384" s="3199"/>
      <c r="Q384" s="1454"/>
      <c r="AE384" s="51"/>
      <c r="AF384" s="51"/>
    </row>
    <row r="385" spans="1:32" s="43" customFormat="1" ht="10.5" customHeight="1">
      <c r="B385" s="37" t="s">
        <v>1752</v>
      </c>
      <c r="C385" s="53" t="s">
        <v>3966</v>
      </c>
      <c r="E385" s="138"/>
      <c r="F385" s="138"/>
      <c r="G385" s="138"/>
      <c r="H385" s="138"/>
      <c r="M385" s="138"/>
      <c r="N385" s="138"/>
      <c r="O385" s="484" t="s">
        <v>1752</v>
      </c>
      <c r="P385" s="2928"/>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3111" t="s">
        <v>4696</v>
      </c>
      <c r="B387" s="3112"/>
      <c r="C387" s="3112"/>
      <c r="D387" s="3112"/>
      <c r="E387" s="3112"/>
      <c r="F387" s="3112"/>
      <c r="G387" s="3112"/>
      <c r="H387" s="3112"/>
      <c r="I387" s="3112"/>
      <c r="J387" s="3112"/>
      <c r="K387" s="3112"/>
      <c r="L387" s="3112"/>
      <c r="M387" s="3112"/>
      <c r="N387" s="3112"/>
      <c r="O387" s="3112"/>
      <c r="P387" s="3112"/>
      <c r="Q387" s="3113"/>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4.1" customHeight="1">
      <c r="A392" s="1586" t="s">
        <v>4158</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0"/>
      <c r="F393" s="3201"/>
      <c r="G393" s="3201"/>
      <c r="H393" s="3201"/>
      <c r="I393" s="3202"/>
      <c r="J393" s="1907" t="s">
        <v>2688</v>
      </c>
      <c r="K393" s="1986"/>
      <c r="L393" s="1908"/>
      <c r="M393" s="3200"/>
      <c r="N393" s="3201"/>
      <c r="O393" s="3201"/>
      <c r="P393" s="3201"/>
      <c r="Q393" s="3202"/>
    </row>
    <row r="394" spans="1:32" ht="11.45" customHeight="1">
      <c r="A394" s="48" t="s">
        <v>2001</v>
      </c>
      <c r="B394" s="53" t="s">
        <v>3487</v>
      </c>
      <c r="D394" s="53"/>
      <c r="E394" s="53"/>
      <c r="F394" s="53"/>
      <c r="G394" s="53"/>
      <c r="H394" s="53"/>
      <c r="I394" s="53"/>
      <c r="J394" s="53"/>
      <c r="K394" s="53"/>
      <c r="L394" s="956"/>
      <c r="M394" s="956"/>
      <c r="O394" s="484" t="s">
        <v>2001</v>
      </c>
      <c r="P394" s="2929"/>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5"/>
      <c r="Q395" s="564"/>
    </row>
    <row r="396" spans="1:32">
      <c r="A396" s="48" t="s">
        <v>2131</v>
      </c>
      <c r="B396" s="56" t="s">
        <v>3724</v>
      </c>
      <c r="G396" s="1594"/>
      <c r="H396" s="1594"/>
      <c r="I396" s="1594"/>
      <c r="J396" s="956" t="s">
        <v>3725</v>
      </c>
      <c r="L396" s="1594"/>
      <c r="M396" s="1987">
        <f>'Part III-Sources of Funds'!E11</f>
        <v>0</v>
      </c>
      <c r="N396" s="1988"/>
      <c r="O396" s="484" t="s">
        <v>2131</v>
      </c>
      <c r="P396" s="2928"/>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3111" t="s">
        <v>4697</v>
      </c>
      <c r="B398" s="3112"/>
      <c r="C398" s="3112"/>
      <c r="D398" s="3112"/>
      <c r="E398" s="3112"/>
      <c r="F398" s="3112"/>
      <c r="G398" s="3112"/>
      <c r="H398" s="3112"/>
      <c r="I398" s="3112"/>
      <c r="J398" s="3112"/>
      <c r="K398" s="3112"/>
      <c r="L398" s="3112"/>
      <c r="M398" s="3112"/>
      <c r="N398" s="3112"/>
      <c r="O398" s="3112"/>
      <c r="P398" s="3112"/>
      <c r="Q398" s="3113"/>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4.1" customHeight="1">
      <c r="A402" s="1586" t="s">
        <v>4159</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9" t="s">
        <v>3014</v>
      </c>
      <c r="Q403" s="561"/>
    </row>
    <row r="404" spans="1:31" ht="12" customHeight="1">
      <c r="A404" s="48" t="s">
        <v>2001</v>
      </c>
      <c r="B404" s="53" t="s">
        <v>3608</v>
      </c>
      <c r="D404" s="957"/>
      <c r="E404" s="957"/>
      <c r="O404" s="484" t="s">
        <v>2001</v>
      </c>
      <c r="P404" s="2935" t="s">
        <v>3014</v>
      </c>
      <c r="Q404" s="562"/>
    </row>
    <row r="405" spans="1:31" ht="12" customHeight="1">
      <c r="A405" s="48" t="s">
        <v>757</v>
      </c>
      <c r="B405" s="53" t="s">
        <v>4122</v>
      </c>
      <c r="D405" s="957"/>
      <c r="E405" s="957"/>
      <c r="O405" s="484" t="s">
        <v>757</v>
      </c>
      <c r="P405" s="2935" t="s">
        <v>3014</v>
      </c>
      <c r="Q405" s="562"/>
    </row>
    <row r="406" spans="1:31" ht="12" customHeight="1">
      <c r="A406" s="48" t="s">
        <v>2131</v>
      </c>
      <c r="B406" s="53" t="s">
        <v>3609</v>
      </c>
      <c r="E406" s="144"/>
      <c r="O406" s="484" t="s">
        <v>2131</v>
      </c>
      <c r="P406" s="2935" t="s">
        <v>3014</v>
      </c>
      <c r="Q406" s="562"/>
    </row>
    <row r="407" spans="1:31" ht="12" customHeight="1">
      <c r="A407" s="48" t="s">
        <v>1748</v>
      </c>
      <c r="B407" s="53" t="s">
        <v>2095</v>
      </c>
      <c r="E407" s="144"/>
      <c r="G407" s="484" t="s">
        <v>1748</v>
      </c>
      <c r="H407" s="3203"/>
      <c r="I407" s="3204"/>
      <c r="J407" s="3204"/>
      <c r="K407" s="3204"/>
      <c r="L407" s="3204"/>
      <c r="M407" s="3204"/>
      <c r="N407" s="3204"/>
      <c r="O407" s="3205"/>
      <c r="P407" s="2928"/>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3111" t="s">
        <v>4698</v>
      </c>
      <c r="B409" s="3112"/>
      <c r="C409" s="3112"/>
      <c r="D409" s="3112"/>
      <c r="E409" s="3112"/>
      <c r="F409" s="3112"/>
      <c r="G409" s="3112"/>
      <c r="H409" s="3112"/>
      <c r="I409" s="3112"/>
      <c r="J409" s="3112"/>
      <c r="K409" s="3112"/>
      <c r="L409" s="3112"/>
      <c r="M409" s="3112"/>
      <c r="N409" s="3112"/>
      <c r="O409" s="3112"/>
      <c r="P409" s="3112"/>
      <c r="Q409" s="3113"/>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4.1" customHeight="1">
      <c r="A413" s="1586" t="s">
        <v>4160</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8"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9"/>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6"/>
      <c r="H421" s="572"/>
      <c r="J421" s="139" t="s">
        <v>2221</v>
      </c>
      <c r="K421" s="956"/>
      <c r="N421" s="3206"/>
      <c r="O421" s="572"/>
    </row>
    <row r="422" spans="1:32" ht="12" customHeight="1">
      <c r="A422" s="48"/>
      <c r="B422" s="139" t="s">
        <v>2219</v>
      </c>
      <c r="C422" s="37"/>
      <c r="E422" s="43"/>
      <c r="F422" s="956"/>
      <c r="G422" s="3207"/>
      <c r="H422" s="573"/>
      <c r="J422" s="139" t="s">
        <v>2222</v>
      </c>
      <c r="K422" s="956"/>
      <c r="N422" s="3208"/>
      <c r="O422" s="574"/>
    </row>
    <row r="423" spans="1:32" ht="12" customHeight="1">
      <c r="A423" s="48"/>
      <c r="B423" s="139" t="s">
        <v>2220</v>
      </c>
      <c r="C423" s="37"/>
      <c r="E423" s="43"/>
      <c r="F423" s="956"/>
      <c r="G423" s="3208"/>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7"/>
      <c r="O425" s="560"/>
    </row>
    <row r="426" spans="1:32" ht="12" customHeight="1">
      <c r="A426" s="43"/>
      <c r="B426" s="446" t="s">
        <v>1192</v>
      </c>
      <c r="C426" s="956"/>
      <c r="E426" s="956"/>
      <c r="F426" s="956"/>
      <c r="G426" s="2928"/>
      <c r="H426" s="563"/>
      <c r="J426" s="446" t="s">
        <v>2269</v>
      </c>
      <c r="N426" s="3209"/>
      <c r="O426" s="3210"/>
      <c r="P426" s="3210"/>
      <c r="Q426" s="3211"/>
    </row>
    <row r="427" spans="1:32" ht="12" customHeight="1">
      <c r="B427" s="145" t="s">
        <v>3779</v>
      </c>
      <c r="D427" s="145"/>
      <c r="E427" s="145"/>
      <c r="F427" s="145"/>
      <c r="G427" s="145"/>
      <c r="H427" s="41"/>
      <c r="I427" s="1589"/>
      <c r="J427" s="1589"/>
      <c r="K427" s="1589"/>
      <c r="P427" s="1585"/>
      <c r="Q427" s="955"/>
    </row>
    <row r="428" spans="1:32" ht="12" customHeight="1">
      <c r="A428" s="3111" t="s">
        <v>4699</v>
      </c>
      <c r="B428" s="3112"/>
      <c r="C428" s="3112"/>
      <c r="D428" s="3112"/>
      <c r="E428" s="3112"/>
      <c r="F428" s="3112"/>
      <c r="G428" s="3112"/>
      <c r="H428" s="3112"/>
      <c r="I428" s="3112"/>
      <c r="J428" s="3112"/>
      <c r="K428" s="3112"/>
      <c r="L428" s="3112"/>
      <c r="M428" s="3112"/>
      <c r="N428" s="3112"/>
      <c r="O428" s="3112"/>
      <c r="P428" s="3112"/>
      <c r="Q428" s="3113"/>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4.1" customHeight="1">
      <c r="A432" s="1586" t="s">
        <v>4161</v>
      </c>
      <c r="B432" s="4" t="s">
        <v>2835</v>
      </c>
      <c r="C432" s="4"/>
      <c r="D432" s="89"/>
      <c r="E432" s="1592"/>
      <c r="F432" s="1592"/>
      <c r="G432" s="1592"/>
      <c r="H432" s="1592"/>
      <c r="O432" s="136" t="s">
        <v>1881</v>
      </c>
      <c r="P432" s="1897"/>
      <c r="Q432" s="1904"/>
    </row>
    <row r="433" spans="1:32" ht="14.1" customHeight="1">
      <c r="B433" s="89" t="s">
        <v>3967</v>
      </c>
      <c r="C433" s="4"/>
      <c r="D433" s="89"/>
      <c r="E433" s="1592"/>
      <c r="F433" s="1592"/>
      <c r="G433" s="1592"/>
      <c r="H433" s="1592"/>
    </row>
    <row r="434" spans="1:32" s="137" customFormat="1" ht="21.75" customHeight="1">
      <c r="A434" s="146" t="s">
        <v>1999</v>
      </c>
      <c r="B434" s="1893" t="s">
        <v>3970</v>
      </c>
      <c r="C434" s="1893"/>
      <c r="D434" s="1893"/>
      <c r="E434" s="1893"/>
      <c r="F434" s="1893"/>
      <c r="G434" s="1893"/>
      <c r="H434" s="1893"/>
      <c r="I434" s="1893"/>
      <c r="J434" s="1893"/>
      <c r="K434" s="1893"/>
      <c r="L434" s="1893"/>
      <c r="M434" s="1893"/>
      <c r="N434" s="1893"/>
      <c r="O434" s="166" t="s">
        <v>1999</v>
      </c>
      <c r="P434" s="3069" t="s">
        <v>4629</v>
      </c>
      <c r="Q434" s="1261"/>
      <c r="AE434" s="487"/>
      <c r="AF434" s="487"/>
    </row>
    <row r="435" spans="1:32" s="137" customFormat="1" ht="22.5" customHeight="1">
      <c r="A435" s="146" t="s">
        <v>2001</v>
      </c>
      <c r="B435" s="1893" t="s">
        <v>3968</v>
      </c>
      <c r="C435" s="1893"/>
      <c r="D435" s="1893"/>
      <c r="E435" s="1893"/>
      <c r="F435" s="1893"/>
      <c r="G435" s="1893"/>
      <c r="H435" s="1893"/>
      <c r="I435" s="1893"/>
      <c r="J435" s="1893"/>
      <c r="K435" s="1893"/>
      <c r="L435" s="1893"/>
      <c r="M435" s="1893"/>
      <c r="N435" s="1893"/>
      <c r="O435" s="166" t="s">
        <v>2001</v>
      </c>
      <c r="P435" s="3145" t="s">
        <v>4629</v>
      </c>
      <c r="Q435" s="564"/>
      <c r="AE435" s="487"/>
      <c r="AF435" s="487"/>
    </row>
    <row r="436" spans="1:32" s="137" customFormat="1" ht="22.5" customHeight="1">
      <c r="B436" s="1893" t="s">
        <v>3969</v>
      </c>
      <c r="C436" s="1893"/>
      <c r="D436" s="1893"/>
      <c r="E436" s="1893"/>
      <c r="F436" s="1893"/>
      <c r="G436" s="1893"/>
      <c r="H436" s="1893"/>
      <c r="I436" s="1893"/>
      <c r="J436" s="1893"/>
      <c r="K436" s="1893"/>
      <c r="L436" s="1893"/>
      <c r="M436" s="1893"/>
      <c r="N436" s="1893"/>
      <c r="O436" s="166" t="s">
        <v>1750</v>
      </c>
      <c r="P436" s="3145" t="s">
        <v>4629</v>
      </c>
      <c r="Q436" s="564"/>
      <c r="AE436" s="487"/>
      <c r="AF436" s="487"/>
    </row>
    <row r="437" spans="1:32" s="137" customFormat="1" ht="12" customHeight="1">
      <c r="B437" s="405" t="s">
        <v>3971</v>
      </c>
      <c r="D437" s="622"/>
      <c r="E437" s="622"/>
      <c r="F437" s="622"/>
      <c r="G437" s="622"/>
      <c r="H437" s="622"/>
      <c r="I437" s="622"/>
      <c r="J437" s="622"/>
      <c r="K437" s="622"/>
      <c r="L437" s="622"/>
      <c r="M437" s="622"/>
      <c r="N437" s="622"/>
      <c r="O437" s="166" t="s">
        <v>1751</v>
      </c>
      <c r="P437" s="3145" t="s">
        <v>4629</v>
      </c>
      <c r="Q437" s="564"/>
      <c r="AE437" s="487"/>
      <c r="AF437" s="487"/>
    </row>
    <row r="438" spans="1:32" s="137" customFormat="1" ht="36" customHeight="1">
      <c r="B438" s="1893" t="s">
        <v>3972</v>
      </c>
      <c r="C438" s="1893"/>
      <c r="D438" s="1893"/>
      <c r="E438" s="1893"/>
      <c r="F438" s="1893"/>
      <c r="G438" s="1893"/>
      <c r="H438" s="1893"/>
      <c r="I438" s="1893"/>
      <c r="J438" s="1893"/>
      <c r="K438" s="1893"/>
      <c r="L438" s="1893"/>
      <c r="M438" s="1893"/>
      <c r="N438" s="1893"/>
      <c r="O438" s="166" t="s">
        <v>1752</v>
      </c>
      <c r="P438" s="3145" t="s">
        <v>4629</v>
      </c>
      <c r="Q438" s="564"/>
      <c r="AE438" s="487"/>
      <c r="AF438" s="487"/>
    </row>
    <row r="439" spans="1:32" s="137" customFormat="1" ht="22.5" customHeight="1">
      <c r="B439" s="1893" t="s">
        <v>3973</v>
      </c>
      <c r="C439" s="1893"/>
      <c r="D439" s="1893"/>
      <c r="E439" s="1893"/>
      <c r="F439" s="1893"/>
      <c r="G439" s="1893"/>
      <c r="H439" s="1893"/>
      <c r="I439" s="1893"/>
      <c r="J439" s="1893"/>
      <c r="K439" s="1893"/>
      <c r="L439" s="1893"/>
      <c r="M439" s="1893"/>
      <c r="N439" s="1893"/>
      <c r="O439" s="166" t="s">
        <v>2381</v>
      </c>
      <c r="P439" s="3145" t="s">
        <v>4629</v>
      </c>
      <c r="Q439" s="564"/>
      <c r="AE439" s="487"/>
      <c r="AF439" s="487"/>
    </row>
    <row r="440" spans="1:32" s="137" customFormat="1" ht="22.5" customHeight="1">
      <c r="A440" s="146" t="s">
        <v>757</v>
      </c>
      <c r="B440" s="1893" t="s">
        <v>3974</v>
      </c>
      <c r="C440" s="1893"/>
      <c r="D440" s="1893"/>
      <c r="E440" s="1893"/>
      <c r="F440" s="1893"/>
      <c r="G440" s="1893"/>
      <c r="H440" s="1893"/>
      <c r="I440" s="1893"/>
      <c r="J440" s="1893"/>
      <c r="K440" s="1893"/>
      <c r="L440" s="1893"/>
      <c r="M440" s="1893"/>
      <c r="N440" s="1893"/>
      <c r="O440" s="166" t="s">
        <v>757</v>
      </c>
      <c r="P440" s="3145" t="s">
        <v>4629</v>
      </c>
      <c r="Q440" s="564"/>
      <c r="AE440" s="487"/>
      <c r="AF440" s="487"/>
    </row>
    <row r="441" spans="1:32" s="137" customFormat="1" ht="22.5" customHeight="1">
      <c r="A441" s="146" t="s">
        <v>2131</v>
      </c>
      <c r="B441" s="1893" t="s">
        <v>3975</v>
      </c>
      <c r="C441" s="1893"/>
      <c r="D441" s="1893"/>
      <c r="E441" s="1893"/>
      <c r="F441" s="1893"/>
      <c r="G441" s="1893"/>
      <c r="H441" s="1893"/>
      <c r="I441" s="1893"/>
      <c r="J441" s="1893"/>
      <c r="K441" s="1893"/>
      <c r="L441" s="1893"/>
      <c r="M441" s="1893"/>
      <c r="N441" s="1893"/>
      <c r="O441" s="166" t="s">
        <v>2131</v>
      </c>
      <c r="P441" s="3145" t="s">
        <v>4629</v>
      </c>
      <c r="Q441" s="564"/>
      <c r="AE441" s="487"/>
      <c r="AF441" s="487"/>
    </row>
    <row r="442" spans="1:32" s="137" customFormat="1" ht="21.75" customHeight="1">
      <c r="A442" s="146" t="s">
        <v>1748</v>
      </c>
      <c r="B442" s="1893" t="s">
        <v>3976</v>
      </c>
      <c r="C442" s="1893"/>
      <c r="D442" s="1893"/>
      <c r="E442" s="1893"/>
      <c r="F442" s="1893"/>
      <c r="G442" s="1893"/>
      <c r="H442" s="1893"/>
      <c r="I442" s="1893"/>
      <c r="J442" s="1893"/>
      <c r="K442" s="1893"/>
      <c r="L442" s="1893"/>
      <c r="M442" s="1893"/>
      <c r="N442" s="1893"/>
      <c r="O442" s="166" t="s">
        <v>1748</v>
      </c>
      <c r="P442" s="3145" t="s">
        <v>4629</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2" t="s">
        <v>4629</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3111" t="s">
        <v>4733</v>
      </c>
      <c r="B445" s="3112"/>
      <c r="C445" s="3112"/>
      <c r="D445" s="3112"/>
      <c r="E445" s="3112"/>
      <c r="F445" s="3112"/>
      <c r="G445" s="3112"/>
      <c r="H445" s="3112"/>
      <c r="I445" s="3112"/>
      <c r="J445" s="3112"/>
      <c r="K445" s="3112"/>
      <c r="L445" s="3112"/>
      <c r="M445" s="3112"/>
      <c r="N445" s="3112"/>
      <c r="O445" s="3112"/>
      <c r="P445" s="3112"/>
      <c r="Q445" s="3113"/>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4.1" customHeight="1">
      <c r="A449" s="1586" t="s">
        <v>4162</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53.1" customHeight="1">
      <c r="A451" s="3111" t="s">
        <v>4721</v>
      </c>
      <c r="B451" s="3112"/>
      <c r="C451" s="3112"/>
      <c r="D451" s="3112"/>
      <c r="E451" s="3112"/>
      <c r="F451" s="3112"/>
      <c r="G451" s="3112"/>
      <c r="H451" s="3112"/>
      <c r="I451" s="3112"/>
      <c r="J451" s="3112"/>
      <c r="K451" s="3112"/>
      <c r="L451" s="3112"/>
      <c r="M451" s="3112"/>
      <c r="N451" s="3112"/>
      <c r="O451" s="3112"/>
      <c r="P451" s="3112"/>
      <c r="Q451" s="3113"/>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3862</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3863</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3864</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3865</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3894</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3866</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3867</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3868</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3869</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3944</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3943</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3945</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BJP98ztxXnmcMfRsXf0v2/akOnnVs7PfGOgCHwS54SVDd6QRiN00kxE3gRll1s74ih4ICxNMmuGTYL4WuwBOpA==" saltValue="LXeyhNAlPMGpJ+41mLGmP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2" zoomScale="120" zoomScaleNormal="120" zoomScalePageLayoutView="150" workbookViewId="0">
      <selection sqref="A1:XFD1048576"/>
    </sheetView>
  </sheetViews>
  <sheetFormatPr defaultColWidth="9.140625" defaultRowHeight="12.75"/>
  <cols>
    <col min="1" max="1" width="4.140625" style="28" customWidth="1"/>
    <col min="2" max="2" width="3.42578125"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4.1" customHeight="1">
      <c r="A1" s="1737" t="str">
        <f>CONCATENATE("PART NINE - SCORING CRITERIA","  -  ",'Part I-Project Information'!$O$6," ",'Part I-Project Information'!$F$34,", ",'Part I-Project Information'!F38,", ",'Part I-Project Information'!J39," County")</f>
        <v>PART NINE - SCORING CRITERIA  -  2018-046 Abbington on Cheshire Bridge, Atlanta, Fulton County</v>
      </c>
      <c r="B1" s="1738"/>
      <c r="C1" s="1738"/>
      <c r="D1" s="1738"/>
      <c r="E1" s="1738"/>
      <c r="F1" s="1738"/>
      <c r="G1" s="1738"/>
      <c r="H1" s="1738"/>
      <c r="I1" s="1738"/>
      <c r="J1" s="1738"/>
      <c r="K1" s="1738"/>
      <c r="L1" s="1738"/>
      <c r="M1" s="1738"/>
      <c r="N1" s="1738"/>
      <c r="O1" s="1738"/>
      <c r="P1" s="1739"/>
    </row>
    <row r="2" spans="1:22" s="36" customFormat="1" ht="4.3499999999999996" customHeight="1">
      <c r="A2" s="37"/>
      <c r="B2" s="37"/>
      <c r="C2" s="38"/>
      <c r="D2" s="37"/>
      <c r="E2" s="37"/>
      <c r="F2" s="37"/>
      <c r="G2" s="37"/>
      <c r="H2" s="37"/>
      <c r="I2" s="37"/>
      <c r="J2" s="37"/>
      <c r="K2" s="37"/>
      <c r="L2" s="37"/>
      <c r="M2" s="39"/>
      <c r="N2" s="75"/>
      <c r="O2" s="1584"/>
      <c r="P2" s="1584"/>
    </row>
    <row r="3" spans="1:22" s="43" customFormat="1" ht="12" customHeight="1">
      <c r="A3" s="2163" t="s">
        <v>4138</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67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2"/>
      <c r="P10" s="1254">
        <f>F15</f>
        <v>0</v>
      </c>
    </row>
    <row r="11" spans="1:22" s="44" customFormat="1" ht="11.25" customHeight="1">
      <c r="A11" s="185"/>
      <c r="C11" s="113" t="s">
        <v>2129</v>
      </c>
      <c r="D11" s="49"/>
      <c r="E11" s="49"/>
      <c r="F11" s="1593"/>
      <c r="H11" s="179" t="s">
        <v>2784</v>
      </c>
      <c r="J11" s="50"/>
      <c r="M11" s="6">
        <v>1</v>
      </c>
      <c r="N11" s="67"/>
      <c r="O11" s="2923"/>
      <c r="P11" s="1298">
        <f>J15</f>
        <v>0</v>
      </c>
    </row>
    <row r="12" spans="1:22" s="43" customFormat="1" ht="11.25" customHeight="1">
      <c r="A12" s="185" t="s">
        <v>2001</v>
      </c>
      <c r="B12" s="172" t="s">
        <v>734</v>
      </c>
      <c r="D12" s="49"/>
      <c r="E12" s="49"/>
      <c r="F12" s="1593"/>
      <c r="H12" s="179" t="s">
        <v>2748</v>
      </c>
      <c r="J12" s="50"/>
      <c r="M12" s="6"/>
      <c r="N12" s="67" t="s">
        <v>2001</v>
      </c>
      <c r="O12" s="2922"/>
      <c r="P12" s="1254">
        <f>O15</f>
        <v>0</v>
      </c>
    </row>
    <row r="13" spans="1:22" s="43" customFormat="1" ht="11.1" customHeight="1">
      <c r="A13" s="69"/>
      <c r="C13" s="113" t="s">
        <v>4193</v>
      </c>
      <c r="D13" s="53"/>
      <c r="E13" s="53"/>
      <c r="F13" s="53"/>
      <c r="G13" s="69"/>
      <c r="H13" s="179" t="s">
        <v>2748</v>
      </c>
      <c r="I13" s="69"/>
      <c r="J13" s="69"/>
      <c r="K13" s="69"/>
      <c r="L13" s="69"/>
      <c r="M13" s="69"/>
      <c r="N13" s="69"/>
      <c r="O13" s="2924"/>
      <c r="P13" s="1255">
        <f>+O29</f>
        <v>0</v>
      </c>
      <c r="R13" s="463"/>
      <c r="S13" s="163"/>
    </row>
    <row r="14" spans="1:22" s="43" customFormat="1" ht="11.1" customHeight="1">
      <c r="A14" s="2171" t="s">
        <v>3871</v>
      </c>
      <c r="B14" s="2171"/>
      <c r="C14" s="2171"/>
      <c r="D14" s="2171"/>
      <c r="E14" s="2171"/>
      <c r="F14" s="1589" t="s">
        <v>4196</v>
      </c>
      <c r="J14" s="1589" t="s">
        <v>4196</v>
      </c>
      <c r="K14" s="1589"/>
      <c r="O14" s="2175" t="s">
        <v>4196</v>
      </c>
      <c r="P14" s="2175"/>
      <c r="R14" s="463"/>
      <c r="S14" s="163"/>
    </row>
    <row r="15" spans="1:22" s="43" customFormat="1" ht="11.25" customHeight="1">
      <c r="A15" s="2154"/>
      <c r="B15" s="2154"/>
      <c r="C15" s="2154"/>
      <c r="D15" s="2154"/>
      <c r="E15" s="2154"/>
      <c r="F15" s="79">
        <f>SUM(F16:F27)</f>
        <v>0</v>
      </c>
      <c r="G15" s="2172" t="s">
        <v>3610</v>
      </c>
      <c r="H15" s="2173"/>
      <c r="I15" s="2174"/>
      <c r="J15" s="79">
        <f>SUM(J16:J27)</f>
        <v>0</v>
      </c>
      <c r="K15" s="2176" t="s">
        <v>3394</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2925</v>
      </c>
      <c r="K18" s="2149">
        <v>3</v>
      </c>
      <c r="L18" s="2150"/>
      <c r="M18" s="2150"/>
      <c r="N18" s="2150"/>
      <c r="O18" s="2179" t="s">
        <v>2925</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2925</v>
      </c>
      <c r="P19" s="2180"/>
      <c r="Q19" s="462"/>
      <c r="R19" s="163"/>
    </row>
    <row r="20" spans="1:19" s="43" customFormat="1" ht="24.75" customHeight="1">
      <c r="A20" s="2146">
        <v>5</v>
      </c>
      <c r="B20" s="2147"/>
      <c r="C20" s="2147"/>
      <c r="D20" s="2147"/>
      <c r="E20" s="2148"/>
      <c r="F20" s="936"/>
      <c r="G20" s="2146">
        <v>5</v>
      </c>
      <c r="H20" s="2147"/>
      <c r="I20" s="2148"/>
      <c r="J20" s="1313" t="s">
        <v>3611</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3612</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3613</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3614</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4226</v>
      </c>
      <c r="F28" s="2155" t="s">
        <v>4539</v>
      </c>
      <c r="G28" s="2155"/>
      <c r="H28" s="2155"/>
      <c r="I28" s="2155"/>
      <c r="J28" s="2155"/>
      <c r="K28" s="2155"/>
      <c r="L28" s="2155"/>
      <c r="M28" s="2155"/>
      <c r="N28" s="2155"/>
      <c r="O28" s="2155"/>
      <c r="P28" s="2155"/>
      <c r="Q28" s="112"/>
      <c r="R28" s="391"/>
    </row>
    <row r="29" spans="1:19" s="43" customFormat="1" ht="10.5" customHeight="1">
      <c r="A29" s="303" t="s">
        <v>4197</v>
      </c>
      <c r="B29" s="1316" t="s">
        <v>4198</v>
      </c>
      <c r="C29" s="1316"/>
      <c r="D29" s="1316"/>
      <c r="E29" s="2154"/>
      <c r="F29" s="2156" t="s">
        <v>4225</v>
      </c>
      <c r="G29" s="2156"/>
      <c r="H29" s="2156"/>
      <c r="I29" s="2156"/>
      <c r="J29" s="2156"/>
      <c r="K29" s="2156"/>
      <c r="L29" s="2156"/>
      <c r="M29" s="2156"/>
      <c r="N29" s="2157"/>
      <c r="O29" s="2131">
        <f>SUM(O30:O41)</f>
        <v>0</v>
      </c>
      <c r="P29" s="2132"/>
      <c r="Q29" s="463"/>
      <c r="R29" s="163"/>
    </row>
    <row r="30" spans="1:19" s="43" customFormat="1" ht="10.5" customHeight="1">
      <c r="A30" s="1299" t="s">
        <v>750</v>
      </c>
      <c r="B30" s="1300" t="s">
        <v>4199</v>
      </c>
      <c r="C30" s="1301"/>
      <c r="D30" s="1302"/>
      <c r="E30" s="1358">
        <f>$O$57</f>
        <v>10</v>
      </c>
      <c r="F30" s="2136" t="str">
        <f>$A$63</f>
        <v xml:space="preserve">Abbington on Cheshire Bridge is located within a 1.5-mile driving/walking distance (rural) of the following amenities: Publix grocery; Georgia Department of Community Affairs; Morningside Nature Preserve park; TMJ Dentist Atlanta; Atlanta Fire-Rescue Station 29; Taquira del Sol restaurant; Chase Bank; Rock Spring Presbyterian Church; U.S. Post Office; and CVS Pharmacy.  Of these amenities, several are also located within a half-mile walking/driving distance from the development site: Morningside Nature Preserve park; Taquira del Sol restaurant; and CVS Pharmacy.  Therefore, Abbington on Cheshire Bridge is eligible for a total of 13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on Cheshire Bridge is Publix Supermarket located 0.8 mile from the site.  There are no undesirable activities or characterisitics observed within a 0.25-mile radius from the site.  </v>
      </c>
      <c r="G30" s="2137"/>
      <c r="H30" s="2137"/>
      <c r="I30" s="2137"/>
      <c r="J30" s="2137"/>
      <c r="K30" s="2137"/>
      <c r="L30" s="2137"/>
      <c r="M30" s="2137"/>
      <c r="N30" s="2138"/>
      <c r="O30" s="2144" t="s">
        <v>1746</v>
      </c>
      <c r="P30" s="2145"/>
      <c r="Q30" s="461"/>
      <c r="R30" s="163"/>
    </row>
    <row r="31" spans="1:19" s="43" customFormat="1" ht="10.5" customHeight="1">
      <c r="A31" s="1303" t="s">
        <v>1807</v>
      </c>
      <c r="B31" s="1033" t="s">
        <v>4200</v>
      </c>
      <c r="C31" s="1188"/>
      <c r="D31" s="1304"/>
      <c r="E31" s="1359">
        <f>$O$94</f>
        <v>3</v>
      </c>
      <c r="F31" s="2121" t="str">
        <f>$A$107</f>
        <v xml:space="preserve">Abbington on Cheshire Bridge has committed to comply with the Enterprise Foundation Green Communities Certification program and achieve ten additional points over the baseline certification level. Rea Ventures has worked with SK Collaborative- an Enterprise Qualified TA Provider- to develop a compliant worksheet to achieve this standard. Currently, Abbington on Cheshire Bridge is tracking 62 points in the program including compliance with all mandatory program requirements.  Basic certification level for Enterprise Green Communities requires 35 points for compliance and QAP Exceptional certification requires 35+10. </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Some Applicant Scoring Justification boxes are empty! Check to see if points claimed.</v>
      </c>
      <c r="R31" s="2192"/>
      <c r="S31" s="2192"/>
    </row>
    <row r="32" spans="1:19" s="43" customFormat="1" ht="10.5" customHeight="1">
      <c r="A32" s="1303" t="s">
        <v>780</v>
      </c>
      <c r="B32" s="1033" t="s">
        <v>4201</v>
      </c>
      <c r="C32" s="1188"/>
      <c r="D32" s="1304"/>
      <c r="E32" s="1359">
        <f>$O$153</f>
        <v>5</v>
      </c>
      <c r="F32" s="2121" t="str">
        <f>$A$185</f>
        <v>Abbington on Cheshire Bridge is within the attendance zones for Garden Hills Elementary School, Sutton Middle School, and North Atlanta High School within the Atlanta Public Schools system.  Each of these schools exceeded the minimum scoring CCRPI value when scores are averaged from 2015-2017.  Therefore, the development qualifies for the full 3 points under Quality Education Areas.  The site also qualifies for 2 points under Workforce Housing Need as 42,947 jobs were identified by "On the Map" within a 2-mile radius of the site.  The address used in On the Map was 2070 Cheshire Bridge Road NE, Atlanta, GA 30324, the closest existing physical address.  The minimum scoring threshold for the Atlanta Metro MSA was 15,000 jobs (1 point) or 20,000 (2 points) for exceeding the target threshold by 50%.  This site location is well above the 50% increase threshold and eligible for the full jobs points.</v>
      </c>
      <c r="G32" s="2122"/>
      <c r="H32" s="2122"/>
      <c r="I32" s="2122"/>
      <c r="J32" s="2122"/>
      <c r="K32" s="2122"/>
      <c r="L32" s="2122"/>
      <c r="M32" s="2122"/>
      <c r="N32" s="2123"/>
      <c r="O32" s="2129" t="s">
        <v>2925</v>
      </c>
      <c r="P32" s="2130"/>
      <c r="Q32" s="2191"/>
      <c r="R32" s="2192"/>
      <c r="S32" s="2192"/>
    </row>
    <row r="33" spans="1:19" s="43" customFormat="1" ht="10.5" customHeight="1">
      <c r="A33" s="1303" t="s">
        <v>294</v>
      </c>
      <c r="B33" s="1033" t="s">
        <v>4202</v>
      </c>
      <c r="C33" s="1188"/>
      <c r="D33" s="1304"/>
      <c r="E33" s="1432">
        <f>$O$189</f>
        <v>7</v>
      </c>
      <c r="F33" s="2141" t="str">
        <f>$A$224</f>
        <v xml:space="preserve">Abbington on Cheshire Bridge is located near the middle of the Cheshire Bridge Road “corridor” in an area seeing multiple redevelopments and improvements. 
Public off-site improvements within ½ mile of the site include: 
•	A pedestrian hybrid beacon (PHB) will be installed approximately 300 ft east of our site entrance at approximately 2170 Cheshire Bridge Road
o	Currently in design and bid with completion late 2018/2019
o	Cost estimated to be: $120,000
o	Source of Funding: GDOT LMIG OSS Grant, DPW OOT General Budget 
•	Armand Park and South Fork Peachtree Creek trail expansion on Armand Drive and along South Fork Peachtree Creek. 
o	Currently under design/construction with completion 2019. 
o	Cost of Armand Park land purchase: $399,853 (November 2017) and South Fork Peachtree creek trail expansion ($2,000,000). 
o	Source of Funding: General Government Capital Outlay Fund 
•	Greenspace expansion and habitat restoration at Morningside Nature Preserve 
o	Funded by City of Atlanta parks and recreation impact fees and identified for completion on the 2017-2021 Public Works Program
o	Cost: $1,000,000 (trailhead aquisition for new pedestrian connections)
o	Cost: $250,000 (continue nature preserve master plan development )
o	Source of Funding: City of Atlanta Department Public works budget 
•	Future MARTA expansion to include a light rail line known as the Clifton Corridor, with a station adjacent to the site. 
o	This is part of a large transit corridor development to be funded by the local sales tax referendum (2016). Currently the light rail is in the Project Development Phase (2017-2020). 
o	Abbington on Cheshire Bridge apartments would be placed into service during the Design and Construction Phase (2020-2024) with rail service to begin in 2025.  Cost estimated to be $504,000,000. </v>
      </c>
      <c r="G33" s="2142"/>
      <c r="H33" s="2142"/>
      <c r="I33" s="2142"/>
      <c r="J33" s="2142"/>
      <c r="K33" s="2142"/>
      <c r="L33" s="2142"/>
      <c r="M33" s="2142"/>
      <c r="N33" s="2143"/>
      <c r="O33" s="2129" t="s">
        <v>2925</v>
      </c>
      <c r="P33" s="2130"/>
      <c r="Q33" s="2191"/>
      <c r="R33" s="2192"/>
      <c r="S33" s="2192"/>
    </row>
    <row r="34" spans="1:19" s="43" customFormat="1" ht="10.5" customHeight="1">
      <c r="A34" s="1309" t="s">
        <v>428</v>
      </c>
      <c r="B34" s="1310" t="s">
        <v>4203</v>
      </c>
      <c r="C34" s="1311"/>
      <c r="D34" s="1312"/>
      <c r="E34" s="1360" t="s">
        <v>1746</v>
      </c>
      <c r="F34" s="2124">
        <f>$A$266</f>
        <v>0</v>
      </c>
      <c r="G34" s="2125"/>
      <c r="H34" s="2125"/>
      <c r="I34" s="2125"/>
      <c r="J34" s="2125"/>
      <c r="K34" s="2125"/>
      <c r="L34" s="2125"/>
      <c r="M34" s="2125"/>
      <c r="N34" s="2126"/>
      <c r="O34" s="2127"/>
      <c r="P34" s="2128"/>
      <c r="Q34" s="2191"/>
      <c r="R34" s="2192"/>
      <c r="S34" s="2192"/>
    </row>
    <row r="35" spans="1:19" s="43" customFormat="1" ht="10.5" customHeight="1">
      <c r="A35" s="1303" t="s">
        <v>365</v>
      </c>
      <c r="B35" s="1033" t="s">
        <v>3817</v>
      </c>
      <c r="C35" s="1188"/>
      <c r="D35" s="1304"/>
      <c r="E35" s="1359">
        <f>$O$286</f>
        <v>0</v>
      </c>
      <c r="F35" s="2121" t="str">
        <f>$A$290</f>
        <v xml:space="preserve">Abbington on Cheshire Bridge is located in Census Tract 92, a 2018 qualified census tract.  However, it is located 0.12 mile from Census Tract 1 which is an Upper Income tract where 6.15% of families are below the poverty line.  Therefore, this site qualifies for 1 point under Stable Communities (Flexible Pool Low-Poverty Communities) because it is within 1/4 mile of a census tract that is designated Middle or Upper Income and where less than 10% are below the Poverty level.  The site is also located in a B3 health sub-cluster as designated by the Georgia Department of Public Health.  Therefore, this site is eligible for 1 additional point under Stable Communities (Georgia Department of Public Health Stable Communities) because it is located in a B3 sub-cluster.   </v>
      </c>
      <c r="G35" s="2122"/>
      <c r="H35" s="2122"/>
      <c r="I35" s="2122"/>
      <c r="J35" s="2122"/>
      <c r="K35" s="2122"/>
      <c r="L35" s="2122"/>
      <c r="M35" s="2122"/>
      <c r="N35" s="2123"/>
      <c r="O35" s="2127"/>
      <c r="P35" s="2128"/>
      <c r="Q35" s="2191"/>
      <c r="R35" s="2192"/>
      <c r="S35" s="2192"/>
    </row>
    <row r="36" spans="1:19" s="43" customFormat="1" ht="10.5" customHeight="1">
      <c r="A36" s="1303" t="s">
        <v>2267</v>
      </c>
      <c r="B36" s="1033" t="s">
        <v>4204</v>
      </c>
      <c r="C36" s="1188"/>
      <c r="D36" s="1304"/>
      <c r="E36" s="1360">
        <f>$O$337</f>
        <v>1</v>
      </c>
      <c r="F36" s="2121" t="str">
        <f>$A$342</f>
        <v xml:space="preserve">Applicant has elected to assign its Bonus Point to the Abbington on Cheshire Bridge application.               </v>
      </c>
      <c r="G36" s="2122"/>
      <c r="H36" s="2122"/>
      <c r="I36" s="2122"/>
      <c r="J36" s="2122"/>
      <c r="K36" s="2122"/>
      <c r="L36" s="2122"/>
      <c r="M36" s="2122"/>
      <c r="N36" s="2123"/>
      <c r="O36" s="2127"/>
      <c r="P36" s="2128"/>
      <c r="Q36" s="2191"/>
      <c r="R36" s="2192"/>
      <c r="S36" s="2192"/>
    </row>
    <row r="37" spans="1:19" s="43" customFormat="1" ht="10.5" customHeight="1">
      <c r="A37" s="1303" t="s">
        <v>4515</v>
      </c>
      <c r="B37" s="1033" t="s">
        <v>4516</v>
      </c>
      <c r="C37" s="1188"/>
      <c r="D37" s="1304"/>
      <c r="E37" s="1360">
        <f>$O$294</f>
        <v>3</v>
      </c>
      <c r="F37" s="2141" t="str">
        <f>$A$312</f>
        <v>According to Georgia DCA's online GIS mapping system (.http://georgia-dca.maps.arcgis.com), there have never been any LIHTC awards within a mile of the development site.  Therefore, Abbington on Cheshire Bridge is eligible for three (3) points under Previous Projects (Flexible Pool) since the site is not within a 1-mile radius of a Georgia Housing Credit development that has received an award in the last Six (6) DCA funding cycles.  The closest LIHTC award is Campbell Stone (2911 Pharr Court South NW, Atlanta, GA 30305) which is a 342-unit 4% award in 2005 that is located 2.2 miles to the northwest of the proposed development site.</v>
      </c>
      <c r="G37" s="2142"/>
      <c r="H37" s="2142"/>
      <c r="I37" s="2142"/>
      <c r="J37" s="2142"/>
      <c r="K37" s="2142"/>
      <c r="L37" s="2142"/>
      <c r="M37" s="2142"/>
      <c r="N37" s="2143"/>
      <c r="O37" s="2127"/>
      <c r="P37" s="2128"/>
      <c r="Q37" s="2191"/>
      <c r="R37" s="2192"/>
      <c r="S37" s="2192"/>
    </row>
    <row r="38" spans="1:19" s="43" customFormat="1" ht="10.5" customHeight="1">
      <c r="A38" s="1309" t="s">
        <v>4150</v>
      </c>
      <c r="B38" s="1310" t="s">
        <v>4205</v>
      </c>
      <c r="C38" s="1311"/>
      <c r="D38" s="1312"/>
      <c r="E38" s="1431">
        <f>$O$346</f>
        <v>0</v>
      </c>
      <c r="F38" s="2124" t="str">
        <f>$A$358</f>
        <v>Development is not within a Georgia Initiative for Community Housing community or a Designated Military Zone.</v>
      </c>
      <c r="G38" s="2125"/>
      <c r="H38" s="2125"/>
      <c r="I38" s="2125"/>
      <c r="J38" s="2125"/>
      <c r="K38" s="2125"/>
      <c r="L38" s="2125"/>
      <c r="M38" s="2125"/>
      <c r="N38" s="2126"/>
      <c r="O38" s="2127"/>
      <c r="P38" s="2128"/>
      <c r="Q38" s="2191"/>
      <c r="R38" s="2192"/>
      <c r="S38" s="2192"/>
    </row>
    <row r="39" spans="1:19" s="43" customFormat="1" ht="10.5" customHeight="1">
      <c r="A39" s="1303" t="s">
        <v>4151</v>
      </c>
      <c r="B39" s="1033" t="s">
        <v>4206</v>
      </c>
      <c r="C39" s="1188"/>
      <c r="D39" s="1304"/>
      <c r="E39" s="1359">
        <f>$O$362</f>
        <v>3</v>
      </c>
      <c r="F39" s="2121" t="str">
        <f>$A$392</f>
        <v xml:space="preserve">Development has received an award from Invest Atlanta (a government entity) of $1,200,000 in Housing Opportunity Bonds loan funds.  This loan is set at a fixed interest rate of 2.0%, which is below AFR and is for a term of 30 years, which exceeds the minimum required period of 10 years.  This amount also represents greater than 10% of the total development cost.  It is also classified by Invest Atlanta as unrestricited funding that can be used to pay for the costs associated with market rate and affordable units.  Therefore, these funds qualify as favorable financing per the 2018 QAP and are eligible for the full 3 points.  </v>
      </c>
      <c r="G39" s="2122"/>
      <c r="H39" s="2122"/>
      <c r="I39" s="2122"/>
      <c r="J39" s="2122"/>
      <c r="K39" s="2122"/>
      <c r="L39" s="2122"/>
      <c r="M39" s="2122"/>
      <c r="N39" s="2123"/>
      <c r="O39" s="2127"/>
      <c r="P39" s="2128"/>
      <c r="Q39" s="2191"/>
      <c r="R39" s="2192"/>
      <c r="S39" s="2192"/>
    </row>
    <row r="40" spans="1:19" s="43" customFormat="1" ht="10.5" customHeight="1">
      <c r="A40" s="1303" t="s">
        <v>4149</v>
      </c>
      <c r="B40" s="1033" t="s">
        <v>4207</v>
      </c>
      <c r="C40" s="1188"/>
      <c r="D40" s="1304"/>
      <c r="E40" s="1359">
        <f>$O$396</f>
        <v>2</v>
      </c>
      <c r="F40" s="2121" t="str">
        <f>$A$410</f>
        <v>Applicant has set aside a minimum of 10% of the total units as 1-bedroom units at 50% AMI rents and agrees to accept Section 811 PBRA on these units.</v>
      </c>
      <c r="G40" s="2122"/>
      <c r="H40" s="2122"/>
      <c r="I40" s="2122"/>
      <c r="J40" s="2122"/>
      <c r="K40" s="2122"/>
      <c r="L40" s="2122"/>
      <c r="M40" s="2122"/>
      <c r="N40" s="2123"/>
      <c r="O40" s="2127"/>
      <c r="P40" s="2128"/>
      <c r="Q40" s="2191"/>
      <c r="R40" s="2192"/>
      <c r="S40" s="2192"/>
    </row>
    <row r="41" spans="1:19" s="43" customFormat="1" ht="10.5" customHeight="1">
      <c r="A41" s="1305" t="s">
        <v>4152</v>
      </c>
      <c r="B41" s="1306" t="s">
        <v>4208</v>
      </c>
      <c r="C41" s="1307"/>
      <c r="D41" s="1308"/>
      <c r="E41" s="1361">
        <f>$O$414</f>
        <v>0</v>
      </c>
      <c r="F41" s="2133" t="str">
        <f>$A$429</f>
        <v>Applicant is not pursuing historic preservation on this development.</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3616</v>
      </c>
      <c r="I45" s="2139"/>
      <c r="J45" s="966">
        <f>'Part VI-Revenues &amp; Expenses'!$O$60</f>
        <v>48</v>
      </c>
      <c r="K45" s="965"/>
      <c r="M45" s="941"/>
      <c r="N45" s="7"/>
      <c r="Q45" s="7"/>
      <c r="R45" s="391"/>
    </row>
    <row r="46" spans="1:19" s="105" customFormat="1" ht="13.5" customHeight="1">
      <c r="A46" s="143"/>
      <c r="B46" s="2140" t="s">
        <v>3617</v>
      </c>
      <c r="C46" s="2140"/>
      <c r="D46" s="2140"/>
      <c r="E46" s="2140"/>
      <c r="F46" s="2140"/>
      <c r="G46" s="934"/>
      <c r="H46" s="1093" t="s">
        <v>3618</v>
      </c>
      <c r="I46" s="1093" t="s">
        <v>3619</v>
      </c>
      <c r="J46" s="934"/>
      <c r="K46" s="1919" t="s">
        <v>3396</v>
      </c>
      <c r="L46" s="1919"/>
      <c r="M46" s="941"/>
      <c r="N46" s="7"/>
      <c r="Q46" s="7"/>
      <c r="R46" s="391"/>
    </row>
    <row r="47" spans="1:19" s="105" customFormat="1" ht="13.5" customHeight="1">
      <c r="B47" s="2140"/>
      <c r="C47" s="2140"/>
      <c r="D47" s="2140"/>
      <c r="E47" s="2140"/>
      <c r="F47" s="2140"/>
      <c r="G47" s="1917" t="s">
        <v>3741</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6">
        <v>12</v>
      </c>
      <c r="I49" s="1348"/>
      <c r="K49" s="1094">
        <f>IF(OR('Part VI-Revenues &amp; Expenses'!$O$60="", 'Part VI-Revenues &amp; Expenses'!$O$60=0),0,H49/'Part VI-Revenues &amp; Expenses'!$O$60)</f>
        <v>0.25</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7" t="s">
        <v>3678</v>
      </c>
      <c r="I51" s="1917"/>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7">
        <v>0</v>
      </c>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3991</v>
      </c>
      <c r="E53" s="1006"/>
      <c r="F53" s="938"/>
      <c r="I53" s="970"/>
      <c r="J53" s="970"/>
      <c r="K53" s="970"/>
      <c r="L53" s="970"/>
      <c r="M53" s="970"/>
      <c r="N53" s="404" t="s">
        <v>2004</v>
      </c>
      <c r="O53" s="2928"/>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3795</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3883</v>
      </c>
      <c r="D59" s="34"/>
      <c r="N59" s="484"/>
      <c r="O59" s="2929"/>
      <c r="P59" s="561"/>
    </row>
    <row r="60" spans="1:18" s="44" customFormat="1" ht="12" customHeight="1">
      <c r="A60" s="143" t="s">
        <v>1999</v>
      </c>
      <c r="B60" s="172" t="s">
        <v>1888</v>
      </c>
      <c r="C60" s="4"/>
      <c r="D60" s="4"/>
      <c r="F60" s="307"/>
      <c r="G60" s="179" t="s">
        <v>2737</v>
      </c>
      <c r="I60" s="2163" t="s">
        <v>4228</v>
      </c>
      <c r="J60" s="2163"/>
      <c r="K60" s="2163"/>
      <c r="L60" s="2163"/>
      <c r="M60" s="75">
        <v>10</v>
      </c>
      <c r="N60" s="181" t="s">
        <v>1999</v>
      </c>
      <c r="O60" s="2930">
        <v>10</v>
      </c>
      <c r="P60" s="1076"/>
      <c r="Q60" s="1090" t="str">
        <f>IF(OR($O60=$M60,$O60=0,$O60=""),"","*CHECK!*")</f>
        <v/>
      </c>
      <c r="R60" s="1244" t="s">
        <v>2725</v>
      </c>
    </row>
    <row r="61" spans="1:18" s="44" customFormat="1" ht="12.6" customHeight="1">
      <c r="A61" s="143" t="s">
        <v>2001</v>
      </c>
      <c r="B61" s="172" t="s">
        <v>3872</v>
      </c>
      <c r="D61" s="42"/>
      <c r="F61" s="407"/>
      <c r="G61" s="179" t="s">
        <v>4023</v>
      </c>
      <c r="I61" s="2163"/>
      <c r="J61" s="2163"/>
      <c r="K61" s="2163"/>
      <c r="L61" s="2163"/>
      <c r="M61" s="1589" t="s">
        <v>1250</v>
      </c>
      <c r="N61" s="484" t="s">
        <v>2001</v>
      </c>
      <c r="O61" s="2931">
        <v>0</v>
      </c>
      <c r="P61" s="1218"/>
      <c r="R61" s="1244" t="s">
        <v>2725</v>
      </c>
    </row>
    <row r="62" spans="1:18" s="44" customFormat="1" ht="11.25" customHeight="1" thickBot="1">
      <c r="A62" s="43"/>
      <c r="B62" s="1332" t="s">
        <v>3780</v>
      </c>
      <c r="C62" s="43"/>
      <c r="D62" s="49"/>
      <c r="E62" s="49"/>
      <c r="F62" s="49"/>
      <c r="G62" s="49"/>
      <c r="H62" s="37"/>
      <c r="I62" s="2194"/>
      <c r="J62" s="2194"/>
      <c r="K62" s="2194"/>
      <c r="L62" s="2194"/>
      <c r="M62" s="47"/>
      <c r="N62" s="63"/>
      <c r="O62" s="3"/>
      <c r="P62" s="1587"/>
    </row>
    <row r="63" spans="1:18" s="44" customFormat="1" ht="66" customHeight="1" thickTop="1" thickBot="1">
      <c r="A63" s="2932" t="s">
        <v>4735</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5</v>
      </c>
      <c r="P67" s="1194">
        <f>IF($J$68="Flexible",MIN($M67,MAX(P80,P84)),IF(AND($J$68="Rural",P89&gt;0),MIN($M89,P89),0))</f>
        <v>0</v>
      </c>
      <c r="Q67" s="112" t="s">
        <v>443</v>
      </c>
      <c r="R67" s="1985" t="s">
        <v>4135</v>
      </c>
      <c r="S67" s="1985"/>
      <c r="T67" s="1985"/>
      <c r="U67" s="1985"/>
    </row>
    <row r="68" spans="1:21" s="44" customFormat="1" ht="17.25" customHeight="1">
      <c r="A68" s="158"/>
      <c r="B68" s="113" t="s">
        <v>3994</v>
      </c>
      <c r="D68" s="42"/>
      <c r="H68" s="172" t="s">
        <v>2813</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9" t="s">
        <v>3011</v>
      </c>
      <c r="P69" s="561"/>
      <c r="Q69" s="112"/>
      <c r="R69" s="1985"/>
      <c r="S69" s="1985"/>
      <c r="T69" s="1985"/>
      <c r="U69" s="1985"/>
    </row>
    <row r="70" spans="1:21" s="44" customFormat="1" ht="11.25" customHeight="1">
      <c r="A70" s="158"/>
      <c r="B70" s="499" t="s">
        <v>2004</v>
      </c>
      <c r="C70" s="56" t="s">
        <v>3992</v>
      </c>
      <c r="D70" s="42"/>
      <c r="H70" s="46"/>
      <c r="I70" s="50"/>
      <c r="J70" s="49"/>
      <c r="K70" s="49"/>
      <c r="N70" s="484"/>
      <c r="O70" s="2935" t="s">
        <v>3011</v>
      </c>
      <c r="P70" s="562"/>
      <c r="Q70" s="112"/>
      <c r="R70" s="1985"/>
      <c r="S70" s="1985"/>
      <c r="T70" s="1985"/>
      <c r="U70" s="1985"/>
    </row>
    <row r="71" spans="1:21" s="44" customFormat="1" ht="11.25" customHeight="1">
      <c r="A71" s="158"/>
      <c r="B71" s="499" t="s">
        <v>2551</v>
      </c>
      <c r="C71" s="56" t="s">
        <v>3993</v>
      </c>
      <c r="D71" s="42"/>
      <c r="H71" s="46"/>
      <c r="I71" s="50"/>
      <c r="J71" s="49"/>
      <c r="K71" s="49"/>
      <c r="N71" s="484"/>
      <c r="O71" s="2928"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4001</v>
      </c>
      <c r="D73" s="42"/>
      <c r="F73" s="2197" t="s">
        <v>3742</v>
      </c>
      <c r="G73" s="2197"/>
      <c r="H73" s="2197"/>
      <c r="I73" s="2197"/>
      <c r="J73" s="2197" t="s">
        <v>3743</v>
      </c>
      <c r="K73" s="2197"/>
      <c r="L73" s="2197"/>
      <c r="M73" s="2197"/>
      <c r="N73" s="484"/>
      <c r="O73" s="2198" t="s">
        <v>4142</v>
      </c>
      <c r="P73" s="2199"/>
      <c r="Q73" s="112"/>
      <c r="R73" s="1985"/>
      <c r="S73" s="1985"/>
      <c r="T73" s="1985"/>
      <c r="U73" s="1985"/>
    </row>
    <row r="74" spans="1:21" s="44" customFormat="1" ht="12.75" customHeight="1">
      <c r="A74" s="158"/>
      <c r="C74" s="512" t="s">
        <v>4000</v>
      </c>
      <c r="D74" s="649"/>
      <c r="E74" s="278"/>
      <c r="F74" s="2936">
        <v>33.812044999999998</v>
      </c>
      <c r="G74" s="2937"/>
      <c r="H74" s="2010"/>
      <c r="I74" s="2011"/>
      <c r="J74" s="2936">
        <v>-84.355362999999997</v>
      </c>
      <c r="K74" s="2937"/>
      <c r="L74" s="2010"/>
      <c r="M74" s="2011"/>
      <c r="N74" s="484"/>
      <c r="Q74" s="112"/>
      <c r="R74" s="1985"/>
      <c r="S74" s="1985"/>
      <c r="T74" s="1985"/>
      <c r="U74" s="1985"/>
    </row>
    <row r="75" spans="1:21" s="44" customFormat="1" ht="12.75" customHeight="1">
      <c r="B75" s="1187"/>
      <c r="D75" s="1272" t="s">
        <v>4002</v>
      </c>
      <c r="E75" s="278"/>
      <c r="F75" s="2938">
        <v>33.818469</v>
      </c>
      <c r="G75" s="2939"/>
      <c r="H75" s="2206"/>
      <c r="I75" s="2207"/>
      <c r="J75" s="2938">
        <v>-84.352039000000005</v>
      </c>
      <c r="K75" s="2939"/>
      <c r="L75" s="2206"/>
      <c r="M75" s="2207"/>
      <c r="N75" s="484"/>
      <c r="O75" s="2940">
        <v>0.5</v>
      </c>
      <c r="P75" s="1281"/>
      <c r="Q75" s="112"/>
      <c r="R75" s="1985"/>
      <c r="S75" s="1985"/>
      <c r="T75" s="1985"/>
      <c r="U75" s="1985"/>
    </row>
    <row r="76" spans="1:21" s="44" customFormat="1" ht="12.75" customHeight="1">
      <c r="A76" s="2007" t="s">
        <v>4192</v>
      </c>
      <c r="B76" s="2007"/>
      <c r="C76" s="512" t="s">
        <v>4143</v>
      </c>
      <c r="D76" s="649"/>
      <c r="E76" s="278"/>
      <c r="F76" s="2936">
        <v>33.812044999999998</v>
      </c>
      <c r="G76" s="2937"/>
      <c r="H76" s="2187"/>
      <c r="I76" s="2188"/>
      <c r="J76" s="2936">
        <v>-84.355362999999997</v>
      </c>
      <c r="K76" s="2937"/>
      <c r="L76" s="2187"/>
      <c r="M76" s="2188"/>
      <c r="N76" s="484"/>
      <c r="O76" s="2941"/>
      <c r="P76" s="1280"/>
      <c r="Q76" s="112"/>
      <c r="R76" s="1985"/>
      <c r="S76" s="1985"/>
      <c r="T76" s="1985"/>
      <c r="U76" s="1985"/>
    </row>
    <row r="77" spans="1:21" s="44" customFormat="1" ht="12.75" customHeight="1">
      <c r="A77" s="2007"/>
      <c r="B77" s="2007"/>
      <c r="D77" s="1272" t="s">
        <v>4141</v>
      </c>
      <c r="E77" s="278"/>
      <c r="F77" s="2942">
        <v>33.818925</v>
      </c>
      <c r="G77" s="2943"/>
      <c r="H77" s="2189"/>
      <c r="I77" s="2190"/>
      <c r="J77" s="2942">
        <v>-84.352941999999999</v>
      </c>
      <c r="K77" s="2943"/>
      <c r="L77" s="2189"/>
      <c r="M77" s="2190"/>
      <c r="N77" s="484"/>
      <c r="O77" s="2944">
        <v>0.6</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3781</v>
      </c>
      <c r="M79" s="1584"/>
      <c r="N79" s="1584"/>
      <c r="O79" s="1584"/>
      <c r="P79" s="1584"/>
      <c r="Q79" s="112"/>
      <c r="R79" s="1219"/>
      <c r="S79" s="1219"/>
      <c r="T79" s="1219"/>
      <c r="U79" s="1219"/>
    </row>
    <row r="80" spans="1:21" s="44" customFormat="1" ht="12.6" customHeight="1">
      <c r="A80" s="148" t="s">
        <v>1999</v>
      </c>
      <c r="B80" s="172" t="s">
        <v>3773</v>
      </c>
      <c r="D80" s="42"/>
      <c r="F80" s="46" t="s">
        <v>3885</v>
      </c>
      <c r="I80" s="2200" t="s">
        <v>4139</v>
      </c>
      <c r="J80" s="2200"/>
      <c r="K80" s="2200"/>
      <c r="L80" s="2200"/>
      <c r="M80" s="1584">
        <v>6</v>
      </c>
      <c r="N80" s="404" t="s">
        <v>1999</v>
      </c>
      <c r="O80" s="1088">
        <f>IF($J$68="Flexible",MIN($M80,O81+O82+O83),0)</f>
        <v>5</v>
      </c>
      <c r="P80" s="1088">
        <f>IF($J$68="Flexible",MIN($M80,P81+P82+P83),0)</f>
        <v>0</v>
      </c>
      <c r="Q80" s="112"/>
    </row>
    <row r="81" spans="1:18" s="427" customFormat="1" ht="23.25" customHeight="1">
      <c r="B81" s="456" t="s">
        <v>2002</v>
      </c>
      <c r="C81" s="1893" t="s">
        <v>3995</v>
      </c>
      <c r="D81" s="1893"/>
      <c r="E81" s="1893"/>
      <c r="F81" s="1893"/>
      <c r="G81" s="1893"/>
      <c r="H81" s="1893"/>
      <c r="I81" s="2200"/>
      <c r="J81" s="2200"/>
      <c r="K81" s="2200"/>
      <c r="L81" s="2200"/>
      <c r="M81" s="534">
        <v>5</v>
      </c>
      <c r="N81" s="499" t="s">
        <v>2002</v>
      </c>
      <c r="O81" s="2945"/>
      <c r="P81" s="913"/>
      <c r="Q81" s="1090" t="str">
        <f>IF(OR($O81=$M81,$O81=0,$O81=""),"","*CHECK!*")</f>
        <v/>
      </c>
      <c r="R81" s="1244" t="s">
        <v>2725</v>
      </c>
    </row>
    <row r="82" spans="1:18" s="427" customFormat="1" ht="12" customHeight="1">
      <c r="A82" s="619" t="s">
        <v>1365</v>
      </c>
      <c r="B82" s="456" t="s">
        <v>2004</v>
      </c>
      <c r="C82" s="405" t="s">
        <v>3996</v>
      </c>
      <c r="D82" s="405"/>
      <c r="E82" s="405"/>
      <c r="F82" s="405"/>
      <c r="G82" s="405"/>
      <c r="H82" s="405"/>
      <c r="I82" s="2200"/>
      <c r="J82" s="2200"/>
      <c r="K82" s="2200"/>
      <c r="L82" s="2200"/>
      <c r="M82" s="534">
        <v>4</v>
      </c>
      <c r="N82" s="499" t="s">
        <v>2004</v>
      </c>
      <c r="O82" s="2930">
        <v>4</v>
      </c>
      <c r="P82" s="1076"/>
      <c r="Q82" s="1090" t="str">
        <f t="shared" ref="Q82:Q83" si="0">IF(OR($O82=$M82,$O82=0,$O82=""),"","*CHECK!*")</f>
        <v/>
      </c>
      <c r="R82" s="1244" t="s">
        <v>2725</v>
      </c>
    </row>
    <row r="83" spans="1:18" s="427" customFormat="1" ht="12" customHeight="1">
      <c r="B83" s="456" t="s">
        <v>2551</v>
      </c>
      <c r="C83" s="405" t="s">
        <v>3774</v>
      </c>
      <c r="D83" s="405"/>
      <c r="E83" s="405"/>
      <c r="F83" s="405"/>
      <c r="G83" s="484" t="s">
        <v>4140</v>
      </c>
      <c r="H83" s="1278" t="str">
        <f>'Part I-Project Information'!$H$78</f>
        <v>Family</v>
      </c>
      <c r="I83" s="2946" t="s">
        <v>4654</v>
      </c>
      <c r="J83" s="2947"/>
      <c r="K83" s="2947"/>
      <c r="L83" s="2948" t="s">
        <v>3772</v>
      </c>
      <c r="M83" s="534">
        <v>1</v>
      </c>
      <c r="N83" s="499" t="s">
        <v>2551</v>
      </c>
      <c r="O83" s="2931">
        <v>1</v>
      </c>
      <c r="P83" s="1218"/>
      <c r="Q83" s="1090" t="str">
        <f t="shared" si="0"/>
        <v/>
      </c>
      <c r="R83" s="1244" t="s">
        <v>2725</v>
      </c>
    </row>
    <row r="84" spans="1:18" s="427" customFormat="1" ht="12" customHeight="1">
      <c r="A84" s="148" t="s">
        <v>2001</v>
      </c>
      <c r="B84" s="1243" t="s">
        <v>3775</v>
      </c>
      <c r="C84" s="677"/>
      <c r="D84" s="677"/>
      <c r="E84" s="677"/>
      <c r="F84" s="1213" t="s">
        <v>3884</v>
      </c>
      <c r="I84" s="2949"/>
      <c r="J84" s="2950"/>
      <c r="K84" s="2950"/>
      <c r="L84" s="2951"/>
      <c r="M84" s="1034">
        <v>3</v>
      </c>
      <c r="N84" s="166" t="s">
        <v>2001</v>
      </c>
      <c r="O84" s="1088">
        <f>IF($J$68="Flexible",MIN($M84,O85+O86+O87),0)</f>
        <v>2</v>
      </c>
      <c r="P84" s="1088">
        <f>IF($J$68="Flexible",MIN($M84,P85+P86+P87),0)</f>
        <v>0</v>
      </c>
      <c r="Q84" s="535"/>
      <c r="R84" s="403"/>
    </row>
    <row r="85" spans="1:18" s="427" customFormat="1" ht="12" customHeight="1">
      <c r="A85" s="143"/>
      <c r="B85" s="456" t="s">
        <v>2002</v>
      </c>
      <c r="C85" s="2008" t="s">
        <v>3997</v>
      </c>
      <c r="D85" s="2008"/>
      <c r="E85" s="2008"/>
      <c r="F85" s="2008"/>
      <c r="G85" s="2008"/>
      <c r="H85" s="2009"/>
      <c r="I85" s="2952" t="s">
        <v>4655</v>
      </c>
      <c r="J85" s="2953"/>
      <c r="K85" s="2953"/>
      <c r="L85" s="2954"/>
      <c r="M85" s="534">
        <v>3</v>
      </c>
      <c r="N85" s="499" t="s">
        <v>2002</v>
      </c>
      <c r="O85" s="2945"/>
      <c r="P85" s="913"/>
      <c r="Q85" s="1090" t="str">
        <f>IF(OR($O85=$M85,$O85=0,$O85=""),"","*CHECK!*")</f>
        <v/>
      </c>
      <c r="R85" s="1244" t="s">
        <v>2725</v>
      </c>
    </row>
    <row r="86" spans="1:18" s="44" customFormat="1" ht="12" customHeight="1">
      <c r="A86" s="1214" t="s">
        <v>1365</v>
      </c>
      <c r="B86" s="456" t="s">
        <v>2004</v>
      </c>
      <c r="C86" s="2008" t="s">
        <v>3998</v>
      </c>
      <c r="D86" s="2008"/>
      <c r="E86" s="2008"/>
      <c r="F86" s="2008"/>
      <c r="G86" s="2008"/>
      <c r="H86" s="2009"/>
      <c r="I86" s="2955"/>
      <c r="J86" s="2956"/>
      <c r="K86" s="2956"/>
      <c r="L86" s="2957"/>
      <c r="M86" s="534">
        <v>2</v>
      </c>
      <c r="N86" s="499" t="s">
        <v>2004</v>
      </c>
      <c r="O86" s="2930">
        <v>2</v>
      </c>
      <c r="P86" s="1076"/>
      <c r="Q86" s="1090" t="str">
        <f t="shared" ref="Q86:Q87" si="1">IF(OR($O86=$M86,$O86=0,$O86=""),"","*CHECK!*")</f>
        <v/>
      </c>
      <c r="R86" s="1244" t="s">
        <v>2725</v>
      </c>
    </row>
    <row r="87" spans="1:18" s="44" customFormat="1" ht="14.25" customHeight="1">
      <c r="A87" s="1214" t="s">
        <v>1365</v>
      </c>
      <c r="B87" s="456" t="s">
        <v>2551</v>
      </c>
      <c r="C87" s="1893" t="s">
        <v>3999</v>
      </c>
      <c r="D87" s="1893"/>
      <c r="E87" s="1893"/>
      <c r="F87" s="1893"/>
      <c r="G87" s="1893"/>
      <c r="H87" s="1899"/>
      <c r="I87" s="2952" t="s">
        <v>4656</v>
      </c>
      <c r="J87" s="2953"/>
      <c r="K87" s="2953"/>
      <c r="L87" s="2954"/>
      <c r="M87" s="534">
        <v>1</v>
      </c>
      <c r="N87" s="499" t="s">
        <v>2551</v>
      </c>
      <c r="O87" s="2931"/>
      <c r="P87" s="1218"/>
      <c r="Q87" s="1090" t="str">
        <f t="shared" si="1"/>
        <v/>
      </c>
      <c r="R87" s="1244" t="s">
        <v>2725</v>
      </c>
    </row>
    <row r="88" spans="1:18" s="44" customFormat="1" ht="12.6" customHeight="1">
      <c r="A88" s="538" t="s">
        <v>2806</v>
      </c>
      <c r="B88" s="172"/>
      <c r="E88" s="42"/>
      <c r="I88" s="2958"/>
      <c r="J88" s="2959"/>
      <c r="K88" s="2959"/>
      <c r="L88" s="2960"/>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1"/>
      <c r="P89" s="911"/>
      <c r="Q89" s="1090" t="str">
        <f>IF(OR($O89=$M89,$O89=0,$O89=""),"","*CHECK!*")</f>
        <v/>
      </c>
      <c r="R89" s="1244" t="s">
        <v>2725</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4007</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2" t="s">
        <v>4016</v>
      </c>
      <c r="J96" s="2963"/>
      <c r="K96" s="2963"/>
      <c r="L96" s="2964"/>
      <c r="O96" s="2117"/>
      <c r="P96" s="2117"/>
    </row>
    <row r="97" spans="1:18" s="44" customFormat="1" ht="13.5" customHeight="1">
      <c r="B97" s="172" t="s">
        <v>2813</v>
      </c>
      <c r="G97" s="42"/>
      <c r="H97" s="42"/>
      <c r="I97" s="1215" t="str">
        <f>'Part I-Project Information'!$H$100</f>
        <v>Flexible</v>
      </c>
      <c r="K97" s="28"/>
      <c r="M97" s="1584"/>
      <c r="N97" s="410"/>
      <c r="O97" s="2117"/>
      <c r="P97" s="2117"/>
    </row>
    <row r="98" spans="1:18" s="44" customFormat="1" ht="13.5" customHeight="1">
      <c r="B98" s="172" t="s">
        <v>4004</v>
      </c>
      <c r="G98" s="42"/>
      <c r="H98" s="42"/>
      <c r="I98" s="654"/>
      <c r="K98" s="28"/>
      <c r="M98" s="1584"/>
      <c r="N98" s="410"/>
      <c r="O98" s="2117"/>
      <c r="P98" s="2117"/>
    </row>
    <row r="99" spans="1:18" s="1190" customFormat="1" ht="13.5" customHeight="1">
      <c r="C99" s="1186" t="s">
        <v>4009</v>
      </c>
      <c r="I99" s="2965">
        <v>45</v>
      </c>
      <c r="J99" s="555"/>
      <c r="K99" s="403"/>
      <c r="O99" s="2117"/>
      <c r="P99" s="2117"/>
    </row>
    <row r="100" spans="1:18" s="1190" customFormat="1" ht="13.5" customHeight="1">
      <c r="C100" s="1186" t="s">
        <v>4010</v>
      </c>
      <c r="I100" s="2966">
        <v>62</v>
      </c>
      <c r="J100" s="557"/>
      <c r="K100" s="403"/>
      <c r="O100" s="2184" t="s">
        <v>4018</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3901</v>
      </c>
      <c r="D102" s="34"/>
      <c r="K102" s="2185" t="str">
        <f>IF(OR(AND(O102&gt;0,O103&gt;0),AND(O103&gt;0,O104&gt;0),AND(O102&gt;0,O104&gt;0)),"Choose A, B, or C.  See instructions.",IF(AND(O104&gt;0,O105&gt;0),"Choose A or B when choosing D.  See instructions.",""))</f>
        <v/>
      </c>
      <c r="L102" s="2185"/>
      <c r="M102" s="534">
        <v>2</v>
      </c>
      <c r="N102" s="484" t="s">
        <v>1999</v>
      </c>
      <c r="O102" s="2945"/>
      <c r="P102" s="913"/>
      <c r="Q102" s="1090" t="str">
        <f>IF(OR($O102=$M102,$O102=0,$O102=""),"","*CHECK!*")</f>
        <v/>
      </c>
      <c r="R102" s="1244" t="s">
        <v>2725</v>
      </c>
    </row>
    <row r="103" spans="1:18" ht="11.45" customHeight="1">
      <c r="A103" s="143" t="s">
        <v>2001</v>
      </c>
      <c r="B103" s="184" t="s">
        <v>312</v>
      </c>
      <c r="D103" s="34"/>
      <c r="E103" s="34"/>
      <c r="K103" s="2185"/>
      <c r="L103" s="2185"/>
      <c r="M103" s="534">
        <v>1</v>
      </c>
      <c r="N103" s="484" t="s">
        <v>2001</v>
      </c>
      <c r="O103" s="2930"/>
      <c r="P103" s="1076"/>
      <c r="Q103" s="1090" t="str">
        <f t="shared" ref="Q103:Q105" si="2">IF(OR($O103=$M103,$O103=0,$O103=""),"","*CHECK!*")</f>
        <v/>
      </c>
      <c r="R103" s="1244" t="s">
        <v>2725</v>
      </c>
    </row>
    <row r="104" spans="1:18" ht="11.45" customHeight="1">
      <c r="A104" s="143" t="s">
        <v>757</v>
      </c>
      <c r="B104" s="184" t="s">
        <v>3902</v>
      </c>
      <c r="D104" s="34"/>
      <c r="E104" s="34"/>
      <c r="F104" s="34"/>
      <c r="K104" s="2185"/>
      <c r="L104" s="2185"/>
      <c r="M104" s="534">
        <v>3</v>
      </c>
      <c r="N104" s="484" t="s">
        <v>757</v>
      </c>
      <c r="O104" s="2930">
        <v>3</v>
      </c>
      <c r="P104" s="1076"/>
      <c r="Q104" s="1090" t="str">
        <f t="shared" si="2"/>
        <v/>
      </c>
      <c r="R104" s="1244" t="s">
        <v>2725</v>
      </c>
    </row>
    <row r="105" spans="1:18" ht="11.45" customHeight="1">
      <c r="A105" s="143" t="s">
        <v>2131</v>
      </c>
      <c r="B105" s="184" t="s">
        <v>3804</v>
      </c>
      <c r="D105" s="34"/>
      <c r="E105" s="34"/>
      <c r="F105" s="139" t="s">
        <v>4020</v>
      </c>
      <c r="J105" s="2967" t="s">
        <v>4019</v>
      </c>
      <c r="K105" s="2185"/>
      <c r="L105" s="2185"/>
      <c r="M105" s="534">
        <v>1</v>
      </c>
      <c r="N105" s="484" t="s">
        <v>2131</v>
      </c>
      <c r="O105" s="2931"/>
      <c r="P105" s="1218"/>
      <c r="Q105" s="1090" t="str">
        <f t="shared" si="2"/>
        <v/>
      </c>
      <c r="R105" s="1244" t="s">
        <v>2725</v>
      </c>
    </row>
    <row r="106" spans="1:18" s="105" customFormat="1" ht="11.45" customHeight="1" thickBot="1">
      <c r="A106" s="43"/>
      <c r="B106" s="1332" t="s">
        <v>3780</v>
      </c>
      <c r="C106" s="43"/>
      <c r="D106" s="49"/>
      <c r="E106" s="49"/>
      <c r="F106" s="49"/>
      <c r="G106" s="49"/>
      <c r="K106" s="37"/>
      <c r="M106" s="47"/>
      <c r="N106" s="6"/>
      <c r="O106" s="3"/>
      <c r="P106" s="1584"/>
    </row>
    <row r="107" spans="1:18" s="44" customFormat="1" ht="51" customHeight="1" thickTop="1" thickBot="1">
      <c r="A107" s="2968" t="s">
        <v>4687</v>
      </c>
      <c r="B107" s="2969"/>
      <c r="C107" s="2969"/>
      <c r="D107" s="2969"/>
      <c r="E107" s="2969"/>
      <c r="F107" s="2969"/>
      <c r="G107" s="2969"/>
      <c r="H107" s="2969"/>
      <c r="I107" s="2969"/>
      <c r="J107" s="2969"/>
      <c r="K107" s="2969"/>
      <c r="L107" s="2969"/>
      <c r="M107" s="2969"/>
      <c r="N107" s="2969"/>
      <c r="O107" s="2969"/>
      <c r="P107" s="2970"/>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1999</v>
      </c>
      <c r="O113" s="2971"/>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2" t="s">
        <v>4663</v>
      </c>
      <c r="I116" s="1352"/>
      <c r="J116" s="1352"/>
      <c r="K116" s="1352"/>
      <c r="L116" s="1352"/>
      <c r="M116" s="1593"/>
      <c r="N116" s="181"/>
      <c r="Q116" s="1169"/>
      <c r="R116" s="1169"/>
      <c r="S116" s="1169"/>
      <c r="T116" s="1169"/>
    </row>
    <row r="117" spans="1:20" s="37" customFormat="1" ht="10.5" customHeight="1">
      <c r="A117" s="65"/>
      <c r="C117" s="1291" t="s">
        <v>4178</v>
      </c>
      <c r="D117" s="2973" t="s">
        <v>4664</v>
      </c>
      <c r="E117" s="2974"/>
      <c r="F117" s="2974"/>
      <c r="G117" s="2974"/>
      <c r="H117" s="2974"/>
      <c r="I117" s="2974"/>
      <c r="J117" s="2974"/>
      <c r="K117" s="2974"/>
      <c r="L117" s="2974"/>
      <c r="M117" s="2974"/>
      <c r="N117" s="2974"/>
      <c r="O117" s="2974"/>
      <c r="P117" s="297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971">
        <v>2</v>
      </c>
      <c r="P119" s="1231"/>
      <c r="Q119" s="1090" t="str">
        <f>IF(OR($O119=$M119,$O119=0,$O119=""),"","*CHECK!*")</f>
        <v/>
      </c>
      <c r="R119" s="1244" t="s">
        <v>2725</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6" t="s">
        <v>3011</v>
      </c>
      <c r="P120" s="566"/>
      <c r="Q120" s="1169"/>
      <c r="R120" s="1169"/>
      <c r="S120" s="1169"/>
      <c r="T120" s="1169"/>
    </row>
    <row r="121" spans="1:20" s="105" customFormat="1" ht="10.5" customHeight="1">
      <c r="A121" s="185"/>
      <c r="B121" s="942"/>
      <c r="C121" s="53" t="s">
        <v>4027</v>
      </c>
      <c r="D121" s="179" t="s">
        <v>4148</v>
      </c>
      <c r="F121" s="53"/>
      <c r="G121" s="53"/>
      <c r="H121" s="2977" t="s">
        <v>4665</v>
      </c>
      <c r="I121" s="2977"/>
      <c r="J121" s="2977"/>
      <c r="K121" s="2977"/>
      <c r="L121" s="2977"/>
      <c r="M121" s="2977"/>
      <c r="N121" s="2977"/>
      <c r="O121" s="2977"/>
      <c r="P121" s="2977"/>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3808</v>
      </c>
      <c r="O122" s="2978"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3809</v>
      </c>
      <c r="O123" s="2928" t="s">
        <v>3011</v>
      </c>
      <c r="P123" s="563"/>
      <c r="Q123" s="1169"/>
      <c r="R123" s="1169"/>
      <c r="S123" s="1169"/>
      <c r="T123" s="1169"/>
    </row>
    <row r="124" spans="1:20" s="56" customFormat="1" ht="10.5" customHeight="1">
      <c r="A124" s="65"/>
      <c r="C124" s="56" t="s">
        <v>4175</v>
      </c>
      <c r="D124" s="430"/>
      <c r="E124" s="53"/>
      <c r="F124" s="53"/>
      <c r="G124" s="53"/>
      <c r="H124" s="430"/>
      <c r="J124" s="430"/>
      <c r="L124" s="1902" t="s">
        <v>3845</v>
      </c>
      <c r="M124" s="1902"/>
      <c r="N124" s="1902"/>
      <c r="O124" s="2181" t="s">
        <v>3844</v>
      </c>
      <c r="P124" s="2181"/>
      <c r="Q124" s="53"/>
    </row>
    <row r="125" spans="1:20" s="56" customFormat="1" ht="10.5" customHeight="1">
      <c r="A125" s="65"/>
      <c r="B125" s="390"/>
      <c r="C125" s="2979" t="s">
        <v>4736</v>
      </c>
      <c r="D125" s="2980"/>
      <c r="E125" s="2980"/>
      <c r="F125" s="2980"/>
      <c r="G125" s="2980"/>
      <c r="H125" s="2980"/>
      <c r="I125" s="2980"/>
      <c r="J125" s="2980"/>
      <c r="K125" s="2981"/>
      <c r="L125" s="2982" t="s">
        <v>4667</v>
      </c>
      <c r="M125" s="2982"/>
      <c r="N125" s="2982"/>
      <c r="O125" s="2983">
        <v>14</v>
      </c>
      <c r="P125" s="2983"/>
      <c r="Q125" s="1207" t="str">
        <f>IF(O125&gt;15, "Too much!","")</f>
        <v/>
      </c>
    </row>
    <row r="126" spans="1:20" s="56" customFormat="1" ht="10.5" customHeight="1">
      <c r="A126" s="65"/>
      <c r="B126" s="402"/>
      <c r="C126" s="2984" t="s">
        <v>4666</v>
      </c>
      <c r="D126" s="2985"/>
      <c r="E126" s="2985"/>
      <c r="F126" s="2985"/>
      <c r="G126" s="2985"/>
      <c r="H126" s="2985"/>
      <c r="I126" s="2985"/>
      <c r="J126" s="2985"/>
      <c r="K126" s="2986"/>
      <c r="L126" s="2987" t="s">
        <v>4667</v>
      </c>
      <c r="M126" s="2987"/>
      <c r="N126" s="2987"/>
      <c r="O126" s="2988">
        <v>0</v>
      </c>
      <c r="P126" s="2988"/>
      <c r="Q126" s="1207" t="str">
        <f t="shared" ref="Q126:Q128" si="3">IF(O126&gt;15, "Too much!","")</f>
        <v/>
      </c>
    </row>
    <row r="127" spans="1:20" s="56" customFormat="1" ht="10.5" customHeight="1">
      <c r="A127" s="65"/>
      <c r="B127" s="390"/>
      <c r="C127" s="2984" t="s">
        <v>4737</v>
      </c>
      <c r="D127" s="2985"/>
      <c r="E127" s="2985"/>
      <c r="F127" s="2985"/>
      <c r="G127" s="2985"/>
      <c r="H127" s="2985"/>
      <c r="I127" s="2985"/>
      <c r="J127" s="2985"/>
      <c r="K127" s="2986"/>
      <c r="L127" s="2987" t="s">
        <v>4668</v>
      </c>
      <c r="M127" s="2987"/>
      <c r="N127" s="2987"/>
      <c r="O127" s="2988">
        <v>0</v>
      </c>
      <c r="P127" s="2988"/>
      <c r="Q127" s="1207" t="str">
        <f t="shared" si="3"/>
        <v/>
      </c>
    </row>
    <row r="128" spans="1:20" s="56" customFormat="1" ht="10.5" customHeight="1">
      <c r="A128" s="65"/>
      <c r="B128" s="401"/>
      <c r="C128" s="2989" t="s">
        <v>4738</v>
      </c>
      <c r="D128" s="2990"/>
      <c r="E128" s="2990"/>
      <c r="F128" s="2990"/>
      <c r="G128" s="2990"/>
      <c r="H128" s="2990"/>
      <c r="I128" s="2990"/>
      <c r="J128" s="2990"/>
      <c r="K128" s="2991"/>
      <c r="L128" s="2992" t="s">
        <v>4668</v>
      </c>
      <c r="M128" s="2992"/>
      <c r="N128" s="2992"/>
      <c r="O128" s="2993">
        <v>0</v>
      </c>
      <c r="P128" s="2993"/>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3808</v>
      </c>
      <c r="O129" s="2929"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3809</v>
      </c>
      <c r="O130" s="2928"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9" t="s">
        <v>3011</v>
      </c>
      <c r="H132" s="561"/>
      <c r="I132" s="956" t="s">
        <v>4212</v>
      </c>
      <c r="L132" s="65"/>
      <c r="M132" s="65"/>
      <c r="N132" s="65"/>
      <c r="O132" s="2929" t="s">
        <v>3011</v>
      </c>
      <c r="P132" s="561"/>
      <c r="Q132" s="53"/>
    </row>
    <row r="133" spans="1:21" s="56" customFormat="1" ht="10.5" customHeight="1">
      <c r="A133" s="65"/>
      <c r="B133" s="65"/>
      <c r="C133" s="956" t="s">
        <v>4540</v>
      </c>
      <c r="D133" s="65"/>
      <c r="E133" s="65"/>
      <c r="F133" s="65"/>
      <c r="G133" s="2935" t="s">
        <v>3011</v>
      </c>
      <c r="H133" s="562"/>
      <c r="I133" s="53" t="s">
        <v>4213</v>
      </c>
      <c r="L133" s="65"/>
      <c r="M133" s="65"/>
      <c r="N133" s="65"/>
      <c r="O133" s="2935" t="s">
        <v>3011</v>
      </c>
      <c r="P133" s="562"/>
      <c r="Q133" s="53"/>
    </row>
    <row r="134" spans="1:21" s="56" customFormat="1" ht="10.5" customHeight="1">
      <c r="A134" s="65"/>
      <c r="B134" s="65"/>
      <c r="C134" s="956" t="s">
        <v>4211</v>
      </c>
      <c r="D134" s="65"/>
      <c r="E134" s="65"/>
      <c r="F134" s="65"/>
      <c r="G134" s="2935" t="s">
        <v>3011</v>
      </c>
      <c r="H134" s="562"/>
      <c r="I134" s="956" t="s">
        <v>4214</v>
      </c>
      <c r="L134" s="65"/>
      <c r="M134" s="65"/>
      <c r="N134" s="65"/>
      <c r="O134" s="2935" t="s">
        <v>3011</v>
      </c>
      <c r="P134" s="562"/>
      <c r="Q134" s="53"/>
    </row>
    <row r="135" spans="1:21" s="56" customFormat="1" ht="10.5" customHeight="1">
      <c r="A135" s="65"/>
      <c r="B135" s="65"/>
      <c r="C135" s="2994" t="s">
        <v>4215</v>
      </c>
      <c r="D135" s="2995"/>
      <c r="E135" s="2995"/>
      <c r="F135" s="2996"/>
      <c r="G135" s="2928"/>
      <c r="H135" s="1292"/>
      <c r="I135" s="2994" t="s">
        <v>4739</v>
      </c>
      <c r="J135" s="2995"/>
      <c r="K135" s="2995"/>
      <c r="L135" s="2995"/>
      <c r="M135" s="2995"/>
      <c r="N135" s="2996"/>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3846</v>
      </c>
      <c r="D137" s="144"/>
      <c r="F137" s="144"/>
      <c r="G137" s="144"/>
      <c r="H137" s="144"/>
      <c r="I137" s="144"/>
      <c r="J137" s="144"/>
      <c r="K137" s="144"/>
      <c r="L137" s="391" t="str">
        <f>IF(OR($O137=$M137,$O137=0,$O137=""),"","* * Check Score! * *")</f>
        <v/>
      </c>
      <c r="M137" s="628">
        <v>1</v>
      </c>
      <c r="N137" s="1189" t="s">
        <v>2004</v>
      </c>
      <c r="O137" s="2971">
        <v>1</v>
      </c>
      <c r="P137" s="1231"/>
      <c r="Q137" s="1090" t="str">
        <f>IF(OR($O137=$M137,$O137=0,$O137=""),"","*CHECK!*")</f>
        <v/>
      </c>
      <c r="R137" s="1244" t="s">
        <v>2725</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76" t="s">
        <v>4629</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3808</v>
      </c>
      <c r="O139" s="2978"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3809</v>
      </c>
      <c r="O140" s="2935"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3810</v>
      </c>
      <c r="O141" s="2935"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3812</v>
      </c>
      <c r="O142" s="2935"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3813</v>
      </c>
      <c r="O143" s="2928"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997" t="s">
        <v>3011</v>
      </c>
      <c r="P144" s="560"/>
      <c r="Q144" s="53"/>
    </row>
    <row r="145" spans="1:18" s="56" customFormat="1" ht="10.5" customHeight="1">
      <c r="A145" s="65"/>
      <c r="B145" s="456"/>
      <c r="C145" s="56" t="s">
        <v>3861</v>
      </c>
      <c r="D145" s="430"/>
      <c r="E145" s="53"/>
      <c r="F145" s="53"/>
      <c r="G145" s="56" t="s">
        <v>4181</v>
      </c>
      <c r="H145" s="430"/>
      <c r="M145" s="59"/>
      <c r="N145" s="59"/>
      <c r="O145" s="59"/>
      <c r="P145" s="59"/>
      <c r="Q145" s="53"/>
    </row>
    <row r="146" spans="1:18" s="56" customFormat="1" ht="10.5" customHeight="1">
      <c r="A146" s="65"/>
      <c r="B146" s="390"/>
      <c r="C146" s="2979" t="s">
        <v>4669</v>
      </c>
      <c r="D146" s="2980"/>
      <c r="E146" s="2980"/>
      <c r="F146" s="2981"/>
      <c r="G146" s="2979" t="s">
        <v>4672</v>
      </c>
      <c r="H146" s="2980"/>
      <c r="I146" s="2980"/>
      <c r="J146" s="2980"/>
      <c r="K146" s="2980"/>
      <c r="L146" s="2980"/>
      <c r="M146" s="2980"/>
      <c r="N146" s="2980"/>
      <c r="O146" s="2980"/>
      <c r="P146" s="2981"/>
      <c r="Q146" s="53"/>
    </row>
    <row r="147" spans="1:18" s="56" customFormat="1" ht="10.5" customHeight="1">
      <c r="A147" s="65"/>
      <c r="B147" s="402"/>
      <c r="C147" s="2984" t="s">
        <v>4670</v>
      </c>
      <c r="D147" s="2985"/>
      <c r="E147" s="2985"/>
      <c r="F147" s="2986"/>
      <c r="G147" s="2979" t="s">
        <v>4672</v>
      </c>
      <c r="H147" s="2980"/>
      <c r="I147" s="2980"/>
      <c r="J147" s="2980"/>
      <c r="K147" s="2980"/>
      <c r="L147" s="2980"/>
      <c r="M147" s="2980"/>
      <c r="N147" s="2980"/>
      <c r="O147" s="2980"/>
      <c r="P147" s="2981"/>
      <c r="Q147" s="53"/>
    </row>
    <row r="148" spans="1:18" s="56" customFormat="1" ht="10.5" customHeight="1">
      <c r="A148" s="2140" t="s">
        <v>4216</v>
      </c>
      <c r="B148" s="2140"/>
      <c r="C148" s="2984" t="s">
        <v>4671</v>
      </c>
      <c r="D148" s="2985"/>
      <c r="E148" s="2985"/>
      <c r="F148" s="2986"/>
      <c r="G148" s="2979" t="s">
        <v>4672</v>
      </c>
      <c r="H148" s="2980"/>
      <c r="I148" s="2980"/>
      <c r="J148" s="2980"/>
      <c r="K148" s="2980"/>
      <c r="L148" s="2980"/>
      <c r="M148" s="2980"/>
      <c r="N148" s="2980"/>
      <c r="O148" s="2980"/>
      <c r="P148" s="2981"/>
      <c r="Q148" s="53"/>
    </row>
    <row r="149" spans="1:18" s="56" customFormat="1" ht="10.5" customHeight="1">
      <c r="A149" s="2140"/>
      <c r="B149" s="2140"/>
      <c r="C149" s="2989" t="s">
        <v>4673</v>
      </c>
      <c r="D149" s="2990"/>
      <c r="E149" s="2990"/>
      <c r="F149" s="2991"/>
      <c r="G149" s="2989" t="s">
        <v>4740</v>
      </c>
      <c r="H149" s="2990"/>
      <c r="I149" s="2990"/>
      <c r="J149" s="2990"/>
      <c r="K149" s="2990"/>
      <c r="L149" s="2990"/>
      <c r="M149" s="2990"/>
      <c r="N149" s="2990"/>
      <c r="O149" s="2990"/>
      <c r="P149" s="2991"/>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4003</v>
      </c>
      <c r="C153" s="1592"/>
      <c r="D153" s="1592"/>
      <c r="E153" s="1592"/>
      <c r="F153" s="1592"/>
      <c r="G153" s="1592"/>
      <c r="H153" s="1592"/>
      <c r="I153" s="1592"/>
      <c r="J153" s="1592"/>
      <c r="K153" s="1592"/>
      <c r="L153" s="1592"/>
      <c r="M153" s="941">
        <v>5</v>
      </c>
      <c r="N153" s="77"/>
      <c r="O153" s="1194">
        <f>O155+O171</f>
        <v>5</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3855</v>
      </c>
      <c r="C156" s="443"/>
      <c r="D156" s="443"/>
      <c r="E156" s="443"/>
      <c r="F156" s="443"/>
      <c r="G156" s="443"/>
      <c r="H156" s="443"/>
      <c r="I156" s="443"/>
      <c r="J156" s="443"/>
      <c r="K156" s="443"/>
      <c r="L156" s="443"/>
      <c r="M156" s="443"/>
      <c r="N156" s="443"/>
      <c r="O156" s="2998"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4218</v>
      </c>
      <c r="C158" s="2019"/>
      <c r="D158" s="2019"/>
      <c r="E158" s="53" t="s">
        <v>3852</v>
      </c>
      <c r="F158" s="105"/>
      <c r="G158" s="53"/>
      <c r="H158" s="105"/>
      <c r="I158" s="2973" t="s">
        <v>4644</v>
      </c>
      <c r="J158" s="2974"/>
      <c r="K158" s="2974"/>
      <c r="L158" s="2975"/>
    </row>
    <row r="159" spans="1:18" s="44" customFormat="1" ht="11.25" customHeight="1">
      <c r="A159" s="143"/>
      <c r="B159" s="2019"/>
      <c r="C159" s="2019"/>
      <c r="D159" s="2019"/>
      <c r="E159" s="41" t="s">
        <v>3854</v>
      </c>
      <c r="F159" s="391"/>
      <c r="G159" s="105"/>
      <c r="H159" s="105"/>
      <c r="I159" s="41"/>
      <c r="J159" s="1604"/>
      <c r="K159" s="1604"/>
      <c r="L159" s="1604"/>
      <c r="M159" s="105"/>
      <c r="N159" s="1222"/>
      <c r="O159" s="2998"/>
      <c r="P159" s="559"/>
      <c r="Q159" s="138"/>
    </row>
    <row r="160" spans="1:18" s="44" customFormat="1" ht="12" customHeight="1">
      <c r="A160" s="43"/>
      <c r="C160" s="1592"/>
      <c r="D160" s="1592"/>
      <c r="E160" s="53" t="s">
        <v>2924</v>
      </c>
      <c r="F160" s="2201" t="str">
        <f>'Part I-Project Information'!$H$78</f>
        <v>Family</v>
      </c>
      <c r="G160" s="2201"/>
      <c r="I160" s="1592"/>
      <c r="J160" s="1592"/>
      <c r="K160" s="1592"/>
      <c r="L160" s="1592"/>
      <c r="M160" s="1592"/>
      <c r="N160" s="77"/>
      <c r="O160" s="73"/>
      <c r="P160" s="941"/>
    </row>
    <row r="161" spans="1:24" s="44" customFormat="1" ht="13.5" customHeight="1">
      <c r="A161" s="143"/>
      <c r="B161" s="579"/>
      <c r="C161" s="578"/>
      <c r="D161" s="578"/>
      <c r="E161" s="1354"/>
      <c r="H161" s="2032" t="s">
        <v>3850</v>
      </c>
      <c r="I161" s="2202" t="s">
        <v>3895</v>
      </c>
      <c r="J161" s="2203"/>
      <c r="K161" s="2203"/>
      <c r="L161" s="2204"/>
      <c r="M161" s="2034" t="s">
        <v>3849</v>
      </c>
      <c r="N161" s="2034"/>
      <c r="O161" s="2034" t="s">
        <v>3853</v>
      </c>
      <c r="P161" s="2034"/>
      <c r="Q161" s="138"/>
    </row>
    <row r="162" spans="1:24" s="44" customFormat="1" ht="13.5" customHeight="1">
      <c r="A162" s="143"/>
      <c r="B162" s="584" t="s">
        <v>3847</v>
      </c>
      <c r="C162" s="1604"/>
      <c r="D162" s="2035" t="s">
        <v>3851</v>
      </c>
      <c r="E162" s="2035"/>
      <c r="F162" s="2035"/>
      <c r="G162" s="1608" t="s">
        <v>3420</v>
      </c>
      <c r="H162" s="2033"/>
      <c r="I162" s="544">
        <v>2014</v>
      </c>
      <c r="J162" s="544">
        <v>2015</v>
      </c>
      <c r="K162" s="544">
        <v>2016</v>
      </c>
      <c r="L162" s="544">
        <v>2017</v>
      </c>
      <c r="M162" s="2034"/>
      <c r="N162" s="2034"/>
      <c r="O162" s="2034"/>
      <c r="P162" s="2034"/>
      <c r="Q162" s="2193" t="s">
        <v>3848</v>
      </c>
      <c r="R162" s="2193"/>
    </row>
    <row r="163" spans="1:24" s="44" customFormat="1" ht="13.5" customHeight="1">
      <c r="A163" s="390" t="s">
        <v>2451</v>
      </c>
      <c r="B163" s="626" t="s">
        <v>4042</v>
      </c>
      <c r="D163" s="2999" t="s">
        <v>4650</v>
      </c>
      <c r="E163" s="3000"/>
      <c r="F163" s="3001"/>
      <c r="G163" s="3002" t="s">
        <v>4651</v>
      </c>
      <c r="H163" s="3003" t="s">
        <v>3014</v>
      </c>
      <c r="I163" s="3004"/>
      <c r="J163" s="3005">
        <v>78.599999999999994</v>
      </c>
      <c r="K163" s="3005">
        <v>82</v>
      </c>
      <c r="L163" s="3006">
        <v>75.2</v>
      </c>
      <c r="M163" s="2030">
        <f>IF(I163+J163+K163+L163=0,"",AVERAGE(I163,J163,K163,L163))</f>
        <v>78.600000000000009</v>
      </c>
      <c r="N163" s="2031"/>
      <c r="O163" s="662" t="str">
        <f>IF(M163="","",IF(M163&gt;Q163,"Yes",IF(M163&lt;Q163,"No","")))</f>
        <v>Yes</v>
      </c>
      <c r="Q163" s="2078">
        <v>73.400000000000006</v>
      </c>
      <c r="R163" s="2079"/>
      <c r="S163" s="55"/>
    </row>
    <row r="164" spans="1:24" s="44" customFormat="1" ht="13.5" customHeight="1">
      <c r="A164" s="402" t="s">
        <v>2452</v>
      </c>
      <c r="B164" s="626" t="s">
        <v>4217</v>
      </c>
      <c r="D164" s="3007" t="s">
        <v>4645</v>
      </c>
      <c r="E164" s="3008"/>
      <c r="F164" s="3009"/>
      <c r="G164" s="3010" t="s">
        <v>4652</v>
      </c>
      <c r="H164" s="3011" t="s">
        <v>3014</v>
      </c>
      <c r="I164" s="3012"/>
      <c r="J164" s="3013">
        <v>79.099999999999994</v>
      </c>
      <c r="K164" s="3013">
        <v>74.2</v>
      </c>
      <c r="L164" s="3014">
        <v>76.599999999999994</v>
      </c>
      <c r="M164" s="2028">
        <f>IF(I164+J164+K164+L164=0,"",AVERAGE(I164,J164,K164,L164))</f>
        <v>76.63333333333334</v>
      </c>
      <c r="N164" s="2029"/>
      <c r="O164" s="663" t="str">
        <f>IF(M164="","",IF(M164&gt;Q164,"Yes",IF(M164&lt;Q164,"No","")))</f>
        <v>Yes</v>
      </c>
      <c r="Q164" s="2078">
        <v>72.099999999999994</v>
      </c>
      <c r="R164" s="2079"/>
      <c r="S164" s="55"/>
    </row>
    <row r="165" spans="1:24" s="44" customFormat="1" ht="13.5" customHeight="1">
      <c r="A165" s="390" t="s">
        <v>2453</v>
      </c>
      <c r="B165" s="626" t="s">
        <v>4040</v>
      </c>
      <c r="D165" s="3015" t="s">
        <v>4646</v>
      </c>
      <c r="E165" s="3016"/>
      <c r="F165" s="3017"/>
      <c r="G165" s="3018" t="s">
        <v>4653</v>
      </c>
      <c r="H165" s="3019" t="s">
        <v>3014</v>
      </c>
      <c r="I165" s="3020"/>
      <c r="J165" s="3021">
        <v>76.400000000000006</v>
      </c>
      <c r="K165" s="3021">
        <v>78.900000000000006</v>
      </c>
      <c r="L165" s="3022">
        <v>81.7</v>
      </c>
      <c r="M165" s="2026">
        <f>IF(I165+J165+K165+L165=0,"",AVERAGE(I165,J165,K165,L165))</f>
        <v>79</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2454</v>
      </c>
      <c r="B167" s="1032" t="s">
        <v>4042</v>
      </c>
      <c r="D167" s="443" t="str">
        <f>IF(D163="","",D163)</f>
        <v>Garden Hills Elementary School</v>
      </c>
      <c r="G167" s="544" t="str">
        <f t="shared" ref="G167:H169" si="4">IF(G163="","",G163)</f>
        <v>PK-05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4041</v>
      </c>
      <c r="D168" s="443" t="str">
        <f>IF(D164="","",D164)</f>
        <v>Sutton Middle School</v>
      </c>
      <c r="G168" s="544" t="str">
        <f t="shared" si="4"/>
        <v>06-08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4040</v>
      </c>
      <c r="D169" s="443" t="str">
        <f>IF(D165="","",D165)</f>
        <v>North Atlanta High School</v>
      </c>
      <c r="G169" s="544" t="str">
        <f t="shared" si="4"/>
        <v>09-12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4044</v>
      </c>
      <c r="C171" s="95"/>
      <c r="D171" s="1191"/>
      <c r="E171" s="1191"/>
      <c r="F171" s="62" t="s">
        <v>3413</v>
      </c>
      <c r="H171" s="41" t="s">
        <v>3896</v>
      </c>
      <c r="M171" s="445">
        <v>2</v>
      </c>
      <c r="N171" s="181"/>
      <c r="O171" s="1194" t="str">
        <f>IF(AND(I180="Yes",I181="Yes"),$H$181,IF(AND(I180="Yes",I181="No"),$H$180,0))</f>
        <v>2.</v>
      </c>
      <c r="P171" s="1194">
        <f>IF(AND(J180="Yes",J181="Yes"),$H$181,IF(AND(J180="Yes",J181="No"),$H$180,0))</f>
        <v>0</v>
      </c>
      <c r="Q171" s="112"/>
      <c r="R171" s="1192"/>
    </row>
    <row r="172" spans="1:24" s="56" customFormat="1" ht="15" customHeight="1">
      <c r="E172" s="2046" t="s">
        <v>4220</v>
      </c>
      <c r="F172" s="2046" t="s">
        <v>3686</v>
      </c>
      <c r="G172" s="2048" t="s">
        <v>3421</v>
      </c>
      <c r="H172" s="2048"/>
      <c r="I172" s="2048"/>
      <c r="J172" s="2048"/>
      <c r="K172" s="2048"/>
      <c r="L172" s="2048"/>
      <c r="M172" s="2048"/>
      <c r="N172" s="2048"/>
      <c r="P172" s="1224"/>
      <c r="R172" s="430" t="s">
        <v>2851</v>
      </c>
      <c r="T172" s="2042" t="str">
        <f>'Part I-Project Information'!$F$38</f>
        <v>Atlanta</v>
      </c>
      <c r="U172" s="2043"/>
      <c r="V172" s="2043"/>
      <c r="W172" s="2043"/>
      <c r="X172" s="2044"/>
    </row>
    <row r="173" spans="1:24" s="56" customFormat="1" ht="13.5" customHeight="1">
      <c r="A173" s="48"/>
      <c r="B173" s="2056" t="s">
        <v>4047</v>
      </c>
      <c r="C173" s="2056"/>
      <c r="D173" s="2056"/>
      <c r="E173" s="2186"/>
      <c r="F173" s="2186"/>
      <c r="G173" s="2047" t="s">
        <v>4046</v>
      </c>
      <c r="H173" s="2047"/>
      <c r="I173" s="2047"/>
      <c r="J173" s="2047"/>
      <c r="K173" s="2047"/>
      <c r="L173" s="2047"/>
      <c r="M173" s="2047"/>
      <c r="N173" s="2047"/>
      <c r="O173" s="2046" t="s">
        <v>3687</v>
      </c>
      <c r="P173" s="2046"/>
      <c r="R173" s="59" t="s">
        <v>2852</v>
      </c>
      <c r="T173" s="2039" t="str">
        <f>'Part I-Project Information'!$J$39</f>
        <v>Fulton</v>
      </c>
      <c r="U173" s="2040"/>
      <c r="V173" s="2040"/>
      <c r="W173" s="2040"/>
      <c r="X173" s="2041"/>
    </row>
    <row r="174" spans="1:24" s="56" customFormat="1" ht="13.5" customHeight="1">
      <c r="A174" s="48"/>
      <c r="B174" s="2052" t="s">
        <v>3856</v>
      </c>
      <c r="C174" s="2052"/>
      <c r="D174" s="2052"/>
      <c r="E174" s="1606">
        <v>3000</v>
      </c>
      <c r="F174" s="1606">
        <v>6000</v>
      </c>
      <c r="G174" s="2045">
        <v>15000</v>
      </c>
      <c r="H174" s="2045"/>
      <c r="I174" s="2045"/>
      <c r="J174" s="2045"/>
      <c r="K174" s="2045"/>
      <c r="L174" s="2045"/>
      <c r="M174" s="2045"/>
      <c r="N174" s="2045"/>
      <c r="O174" s="2045">
        <v>20000</v>
      </c>
      <c r="P174" s="2045"/>
      <c r="R174" s="443" t="s">
        <v>2853</v>
      </c>
      <c r="T174" s="2039" t="str">
        <f>'Part I-Project Information'!$O$40</f>
        <v>Atlanta-Sandy Springs-Marietta</v>
      </c>
      <c r="U174" s="2040"/>
      <c r="V174" s="2040"/>
      <c r="W174" s="2040"/>
      <c r="X174" s="2041"/>
    </row>
    <row r="175" spans="1:24" s="37" customFormat="1" ht="13.5" customHeight="1">
      <c r="A175" s="48"/>
      <c r="B175" s="2082" t="s">
        <v>4045</v>
      </c>
      <c r="C175" s="2082"/>
      <c r="D175" s="2082"/>
      <c r="E175" s="1607">
        <v>4500</v>
      </c>
      <c r="F175" s="1607">
        <v>9000</v>
      </c>
      <c r="G175" s="2025">
        <v>22500</v>
      </c>
      <c r="H175" s="2025"/>
      <c r="I175" s="2025"/>
      <c r="J175" s="2025"/>
      <c r="K175" s="2025"/>
      <c r="L175" s="2025"/>
      <c r="M175" s="2025"/>
      <c r="N175" s="2025"/>
      <c r="O175" s="2025">
        <v>30000</v>
      </c>
      <c r="P175" s="2025"/>
      <c r="R175" s="41" t="s">
        <v>3889</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3890</v>
      </c>
      <c r="E177" s="958"/>
      <c r="F177" s="958"/>
      <c r="G177" s="958"/>
      <c r="I177" s="3023">
        <v>20000</v>
      </c>
      <c r="J177" s="1256"/>
      <c r="R177" s="56" t="s">
        <v>3652</v>
      </c>
      <c r="T177" s="2053" t="str">
        <f>'Part I-Project Information'!$K$40</f>
        <v>Urban</v>
      </c>
      <c r="U177" s="2054"/>
      <c r="V177" s="2054"/>
      <c r="W177" s="2054"/>
      <c r="X177" s="2055"/>
    </row>
    <row r="178" spans="1:24" s="56" customFormat="1" ht="13.5" customHeight="1">
      <c r="A178" s="961"/>
      <c r="B178" s="443" t="s">
        <v>3651</v>
      </c>
      <c r="H178" s="960" t="str">
        <f>IF(I178&lt;I177,"Threshold not met!","")</f>
        <v/>
      </c>
      <c r="I178" s="3024">
        <v>42947</v>
      </c>
      <c r="J178" s="1257"/>
      <c r="K178" s="1226" t="str">
        <f>IF(J178&lt;J177,"Threshold not met!","")</f>
        <v/>
      </c>
    </row>
    <row r="179" spans="1:24" s="56" customFormat="1" ht="8.25" customHeight="1">
      <c r="A179" s="961"/>
      <c r="B179" s="443"/>
    </row>
    <row r="180" spans="1:24" s="56" customFormat="1" ht="11.25" customHeight="1">
      <c r="B180" s="611" t="s">
        <v>2002</v>
      </c>
      <c r="C180" s="37" t="s">
        <v>4219</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3914</v>
      </c>
      <c r="D182" s="1354"/>
      <c r="E182" s="1354"/>
      <c r="F182" s="1354"/>
      <c r="G182" s="1225"/>
      <c r="I182" s="1275">
        <f>IF(I178="",0,(I178/I177) - 1)</f>
        <v>1.1473499999999999</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60" customHeight="1" thickTop="1" thickBot="1">
      <c r="A185" s="2932" t="s">
        <v>4649</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5" customHeight="1">
      <c r="B193" s="1102" t="s">
        <v>2451</v>
      </c>
      <c r="C193" s="1942" t="s">
        <v>4183</v>
      </c>
      <c r="D193" s="1942"/>
      <c r="E193" s="1942"/>
      <c r="F193" s="1942"/>
      <c r="G193" s="1942"/>
      <c r="H193" s="1942"/>
      <c r="I193" s="1942"/>
      <c r="J193" s="1102" t="s">
        <v>2451</v>
      </c>
      <c r="K193" s="3025" t="s">
        <v>3011</v>
      </c>
      <c r="L193" s="1343"/>
      <c r="M193" s="3026" t="s">
        <v>4677</v>
      </c>
      <c r="N193" s="3027"/>
      <c r="O193" s="3027"/>
      <c r="P193" s="3028"/>
    </row>
    <row r="194" spans="1:25" s="44" customFormat="1" ht="10.5" customHeight="1">
      <c r="A194" s="388"/>
      <c r="B194" s="390"/>
      <c r="C194" s="1942"/>
      <c r="D194" s="1942"/>
      <c r="E194" s="1942"/>
      <c r="F194" s="1942"/>
      <c r="G194" s="1942"/>
      <c r="H194" s="1942"/>
      <c r="I194" s="1942"/>
      <c r="K194" s="1314"/>
      <c r="L194" s="1314"/>
    </row>
    <row r="195" spans="1:25" s="44" customFormat="1" ht="17.100000000000001" customHeight="1">
      <c r="A195" s="388"/>
      <c r="B195" s="402" t="s">
        <v>2452</v>
      </c>
      <c r="C195" s="2019" t="s">
        <v>3630</v>
      </c>
      <c r="D195" s="2019"/>
      <c r="E195" s="2019"/>
      <c r="F195" s="2019"/>
      <c r="G195" s="2019"/>
      <c r="J195" s="390" t="s">
        <v>2452</v>
      </c>
      <c r="K195" s="3029" t="s">
        <v>3011</v>
      </c>
      <c r="L195" s="569"/>
      <c r="M195" s="3026" t="s">
        <v>4678</v>
      </c>
      <c r="N195" s="3027"/>
      <c r="O195" s="3027"/>
      <c r="P195" s="3028"/>
    </row>
    <row r="196" spans="1:25" s="406" customFormat="1" ht="23.1" customHeight="1">
      <c r="B196" s="402" t="s">
        <v>2453</v>
      </c>
      <c r="C196" s="1007" t="s">
        <v>2844</v>
      </c>
      <c r="D196" s="1007"/>
      <c r="E196" s="1007"/>
      <c r="F196" s="1007"/>
      <c r="G196" s="1007"/>
      <c r="H196" s="1007"/>
      <c r="J196" s="402" t="s">
        <v>2453</v>
      </c>
      <c r="K196" s="3029" t="s">
        <v>3011</v>
      </c>
      <c r="L196" s="569"/>
      <c r="M196" s="3026" t="s">
        <v>4679</v>
      </c>
      <c r="N196" s="3027"/>
      <c r="O196" s="3027"/>
      <c r="P196" s="3028"/>
    </row>
    <row r="197" spans="1:25" s="406" customFormat="1" ht="17.100000000000001" customHeight="1">
      <c r="B197" s="402" t="s">
        <v>2454</v>
      </c>
      <c r="C197" s="1033" t="s">
        <v>4059</v>
      </c>
      <c r="D197" s="144"/>
      <c r="E197" s="144"/>
      <c r="F197" s="144"/>
      <c r="G197" s="144"/>
      <c r="H197" s="144"/>
      <c r="J197" s="402" t="s">
        <v>2454</v>
      </c>
      <c r="K197" s="3029" t="s">
        <v>3011</v>
      </c>
      <c r="L197" s="569"/>
      <c r="M197" s="3026" t="s">
        <v>4681</v>
      </c>
      <c r="N197" s="3027"/>
      <c r="O197" s="3027"/>
      <c r="P197" s="3028"/>
    </row>
    <row r="198" spans="1:25" s="406" customFormat="1" ht="10.5" customHeight="1">
      <c r="B198" s="1102"/>
      <c r="D198" s="144" t="s">
        <v>4227</v>
      </c>
      <c r="E198" s="144"/>
      <c r="H198" s="144"/>
      <c r="J198" s="1102"/>
      <c r="K198" s="3030" t="s">
        <v>3011</v>
      </c>
      <c r="L198" s="571"/>
    </row>
    <row r="199" spans="1:25" s="406" customFormat="1" ht="26.1" customHeight="1">
      <c r="B199" s="402" t="s">
        <v>2455</v>
      </c>
      <c r="C199" s="1007" t="s">
        <v>4049</v>
      </c>
      <c r="D199" s="1007"/>
      <c r="E199" s="1007"/>
      <c r="F199" s="1007"/>
      <c r="G199" s="1007"/>
      <c r="H199" s="1007"/>
      <c r="J199" s="402" t="s">
        <v>2455</v>
      </c>
      <c r="K199" s="3029" t="s">
        <v>3011</v>
      </c>
      <c r="L199" s="569"/>
      <c r="M199" s="3026" t="s">
        <v>4682</v>
      </c>
      <c r="N199" s="3027"/>
      <c r="O199" s="3027"/>
      <c r="P199" s="3028"/>
    </row>
    <row r="200" spans="1:25" s="406" customFormat="1" ht="20.100000000000001" customHeight="1">
      <c r="B200" s="1102" t="s">
        <v>2471</v>
      </c>
      <c r="C200" s="1007" t="s">
        <v>2845</v>
      </c>
      <c r="D200" s="1007"/>
      <c r="E200" s="1007"/>
      <c r="F200" s="1007"/>
      <c r="G200" s="1007"/>
      <c r="J200" s="1102" t="s">
        <v>2471</v>
      </c>
      <c r="K200" s="3029" t="s">
        <v>3011</v>
      </c>
      <c r="L200" s="569"/>
      <c r="M200" s="3026" t="s">
        <v>4680</v>
      </c>
      <c r="N200" s="3027"/>
      <c r="O200" s="3027"/>
      <c r="P200" s="3028"/>
    </row>
    <row r="201" spans="1:25" s="406" customFormat="1" ht="15.95" customHeight="1">
      <c r="B201" s="1102" t="s">
        <v>2472</v>
      </c>
      <c r="C201" s="1007" t="s">
        <v>4050</v>
      </c>
      <c r="D201" s="1007"/>
      <c r="E201" s="1007"/>
      <c r="F201" s="1007"/>
      <c r="J201" s="1102" t="s">
        <v>2472</v>
      </c>
      <c r="K201" s="3029" t="s">
        <v>3011</v>
      </c>
      <c r="L201" s="569"/>
    </row>
    <row r="202" spans="1:25" s="406" customFormat="1" ht="10.5" customHeight="1">
      <c r="B202" s="402"/>
      <c r="C202" s="1007"/>
      <c r="D202" s="1096" t="s">
        <v>4051</v>
      </c>
      <c r="E202" s="1007"/>
      <c r="F202" s="3031">
        <v>36433</v>
      </c>
      <c r="G202" s="1345"/>
      <c r="I202" s="1096" t="s">
        <v>4052</v>
      </c>
      <c r="K202" s="3032"/>
      <c r="L202" s="1344"/>
    </row>
    <row r="203" spans="1:25" s="406" customFormat="1" ht="10.5" customHeight="1">
      <c r="B203" s="1102" t="s">
        <v>2473</v>
      </c>
      <c r="C203" s="1007" t="s">
        <v>3807</v>
      </c>
      <c r="D203" s="1007"/>
      <c r="E203" s="1007"/>
      <c r="F203" s="1007"/>
      <c r="J203" s="1102" t="s">
        <v>2473</v>
      </c>
      <c r="K203" s="3025" t="s">
        <v>3011</v>
      </c>
      <c r="L203" s="1343"/>
    </row>
    <row r="204" spans="1:25" ht="3" customHeight="1">
      <c r="A204" s="532"/>
      <c r="B204" s="495"/>
      <c r="D204" s="614"/>
      <c r="E204" s="495"/>
      <c r="G204" s="623"/>
      <c r="H204" s="624"/>
      <c r="I204" s="448"/>
      <c r="K204" s="910"/>
      <c r="N204" s="28"/>
      <c r="O204" s="28"/>
      <c r="P204" s="28"/>
    </row>
    <row r="205" spans="1:25" ht="11.25" customHeight="1">
      <c r="B205" s="1600" t="s">
        <v>4184</v>
      </c>
      <c r="E205" s="34"/>
      <c r="G205" s="3033" t="s">
        <v>4683</v>
      </c>
      <c r="H205" s="3034"/>
      <c r="I205" s="3034"/>
      <c r="J205" s="3034"/>
      <c r="K205" s="3034"/>
      <c r="L205" s="3034"/>
      <c r="M205" s="3034"/>
      <c r="N205" s="3034"/>
      <c r="O205" s="3034"/>
      <c r="P205" s="3035"/>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5</v>
      </c>
      <c r="P207" s="575">
        <f>SUM(P208:P209)</f>
        <v>0</v>
      </c>
      <c r="Q207" s="1099"/>
      <c r="X207" s="388"/>
      <c r="Y207" s="390"/>
    </row>
    <row r="208" spans="1:25" ht="21.75" customHeight="1">
      <c r="A208" s="532"/>
      <c r="B208" s="621" t="s">
        <v>2002</v>
      </c>
      <c r="C208" s="2019" t="s">
        <v>3806</v>
      </c>
      <c r="D208" s="2019"/>
      <c r="E208" s="2019"/>
      <c r="F208" s="2019"/>
      <c r="G208" s="2019"/>
      <c r="H208" s="2019"/>
      <c r="I208" s="2019"/>
      <c r="J208" s="2019"/>
      <c r="K208" s="2019"/>
      <c r="L208" s="391" t="str">
        <f>IF(OR($O208=$M208,$O208=0,$O208=""),"","* * Check Score! * *")</f>
        <v/>
      </c>
      <c r="M208" s="1242">
        <v>3</v>
      </c>
      <c r="N208" s="499" t="s">
        <v>2002</v>
      </c>
      <c r="O208" s="2945">
        <v>3</v>
      </c>
      <c r="P208" s="913"/>
      <c r="Q208" s="1090" t="str">
        <f>IF(OR($O208=$M208,$O208=0,$O208=""),"","*CHECK!*")</f>
        <v/>
      </c>
      <c r="R208" s="1086" t="s">
        <v>2725</v>
      </c>
    </row>
    <row r="209" spans="1:23" ht="21.75" customHeight="1">
      <c r="A209" s="532"/>
      <c r="B209" s="621" t="s">
        <v>2004</v>
      </c>
      <c r="C209" s="2013" t="s">
        <v>4058</v>
      </c>
      <c r="D209" s="2013"/>
      <c r="E209" s="2013"/>
      <c r="F209" s="2013"/>
      <c r="G209" s="2013"/>
      <c r="H209" s="2013"/>
      <c r="I209" s="2013"/>
      <c r="J209" s="2013"/>
      <c r="K209" s="2013"/>
      <c r="L209" s="391" t="str">
        <f>IF(OR($O209=$M209,$O209=0,$O209=""),"","* * Check Score! * *")</f>
        <v/>
      </c>
      <c r="M209" s="1242">
        <v>2</v>
      </c>
      <c r="N209" s="499" t="s">
        <v>2004</v>
      </c>
      <c r="O209" s="2931">
        <v>2</v>
      </c>
      <c r="P209" s="1218"/>
      <c r="Q209" s="1090" t="str">
        <f>IF(OR($O209=$M209,$O209=0,$O209=""),"","*CHECK!*")</f>
        <v/>
      </c>
      <c r="R209" s="1086" t="s">
        <v>2725</v>
      </c>
    </row>
    <row r="210" spans="1:23" ht="10.5" customHeight="1">
      <c r="A210" s="532"/>
      <c r="B210" s="495"/>
      <c r="C210" s="495" t="s">
        <v>3805</v>
      </c>
      <c r="D210" s="164"/>
      <c r="E210" s="453" t="str">
        <f>'Part I-Project Information'!$N$39</f>
        <v>Yes</v>
      </c>
      <c r="G210" s="495" t="s">
        <v>3600</v>
      </c>
      <c r="I210" s="2057" t="str">
        <f>'Part I-Project Information'!$O$38</f>
        <v>13121009200</v>
      </c>
      <c r="J210" s="2057"/>
      <c r="K210" s="448" t="s">
        <v>3397</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961">
        <v>2</v>
      </c>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4.1" customHeight="1">
      <c r="A214" s="182"/>
      <c r="B214" s="37" t="s">
        <v>3886</v>
      </c>
      <c r="J214" s="3036" t="s">
        <v>4725</v>
      </c>
      <c r="K214" s="3037"/>
      <c r="L214" s="3038"/>
      <c r="V214" s="1169"/>
      <c r="W214" s="1169"/>
    </row>
    <row r="215" spans="1:23" s="44" customFormat="1" ht="15.95" customHeight="1">
      <c r="A215" s="182"/>
      <c r="B215" s="495" t="s">
        <v>3887</v>
      </c>
      <c r="I215" s="960" t="str">
        <f>IF($J$215="Government", "Additional documentation required - see QAP.","")</f>
        <v>Additional documentation required - see QAP.</v>
      </c>
      <c r="J215" s="3039" t="s">
        <v>4684</v>
      </c>
      <c r="K215" s="3040"/>
      <c r="L215" s="3041"/>
      <c r="M215" s="1106" t="s">
        <v>3650</v>
      </c>
      <c r="N215" s="1107"/>
      <c r="O215" s="1107"/>
      <c r="P215" s="1108"/>
      <c r="V215" s="1169"/>
      <c r="W215" s="1169"/>
    </row>
    <row r="216" spans="1:23" ht="15.95" customHeight="1">
      <c r="A216" s="183"/>
      <c r="B216" s="495" t="s">
        <v>4244</v>
      </c>
      <c r="F216" s="1258"/>
      <c r="G216" s="1258"/>
      <c r="H216" s="1258"/>
      <c r="L216" s="2976" t="s">
        <v>3014</v>
      </c>
      <c r="M216" s="3042" t="s">
        <v>4724</v>
      </c>
      <c r="N216" s="3043"/>
      <c r="O216" s="3043"/>
      <c r="P216" s="3044"/>
      <c r="V216" s="1169"/>
      <c r="W216" s="1169"/>
    </row>
    <row r="217" spans="1:23" ht="10.5" customHeight="1">
      <c r="A217" s="183"/>
      <c r="B217" s="405" t="s">
        <v>3816</v>
      </c>
      <c r="G217" s="405"/>
      <c r="J217" s="3045">
        <v>0.3</v>
      </c>
      <c r="K217" s="1317" t="s">
        <v>3815</v>
      </c>
      <c r="L217" s="1258"/>
      <c r="V217" s="1169"/>
      <c r="W217" s="1169"/>
    </row>
    <row r="218" spans="1:23" ht="38.1" customHeight="1">
      <c r="A218" s="2087" t="s">
        <v>4224</v>
      </c>
      <c r="B218" s="2085" t="s">
        <v>4221</v>
      </c>
      <c r="C218" s="2086"/>
      <c r="D218" s="3046" t="s">
        <v>4723</v>
      </c>
      <c r="E218" s="3047"/>
      <c r="F218" s="3047"/>
      <c r="G218" s="3047"/>
      <c r="H218" s="3047"/>
      <c r="I218" s="3047"/>
      <c r="J218" s="3047"/>
      <c r="K218" s="3047"/>
      <c r="L218" s="3047"/>
      <c r="M218" s="3047"/>
      <c r="N218" s="3047"/>
      <c r="O218" s="3047"/>
      <c r="P218" s="3048"/>
      <c r="Q218" s="461"/>
      <c r="V218" s="1169"/>
      <c r="W218" s="1169"/>
    </row>
    <row r="219" spans="1:23" ht="34.5" customHeight="1">
      <c r="A219" s="2088"/>
      <c r="B219" s="2083" t="s">
        <v>4222</v>
      </c>
      <c r="C219" s="2084"/>
      <c r="D219" s="3049" t="s">
        <v>4686</v>
      </c>
      <c r="E219" s="3050"/>
      <c r="F219" s="3050"/>
      <c r="G219" s="3050"/>
      <c r="H219" s="3050"/>
      <c r="I219" s="3050"/>
      <c r="J219" s="3050"/>
      <c r="K219" s="3050"/>
      <c r="L219" s="3050"/>
      <c r="M219" s="3050"/>
      <c r="N219" s="3050"/>
      <c r="O219" s="3050"/>
      <c r="P219" s="3051"/>
      <c r="Q219" s="461"/>
      <c r="V219" s="1169"/>
      <c r="W219" s="1169"/>
    </row>
    <row r="220" spans="1:23" ht="34.5" customHeight="1">
      <c r="A220" s="2089"/>
      <c r="B220" s="2016" t="s">
        <v>4223</v>
      </c>
      <c r="C220" s="2017"/>
      <c r="D220" s="3052" t="s">
        <v>4685</v>
      </c>
      <c r="E220" s="3053"/>
      <c r="F220" s="3053"/>
      <c r="G220" s="3053"/>
      <c r="H220" s="3053"/>
      <c r="I220" s="3053"/>
      <c r="J220" s="3053"/>
      <c r="K220" s="3053"/>
      <c r="L220" s="3053"/>
      <c r="M220" s="3053"/>
      <c r="N220" s="3053"/>
      <c r="O220" s="3053"/>
      <c r="P220" s="3054"/>
      <c r="Q220" s="461"/>
      <c r="V220" s="1169"/>
      <c r="W220" s="1169"/>
    </row>
    <row r="221" spans="1:23" ht="10.5" customHeight="1">
      <c r="B221" s="37" t="s">
        <v>3477</v>
      </c>
      <c r="G221" s="2113" t="s">
        <v>2646</v>
      </c>
      <c r="H221" s="2113"/>
      <c r="J221" s="3055">
        <f>399853+120000+250000+1000000</f>
        <v>1769853</v>
      </c>
      <c r="K221" s="3056"/>
      <c r="L221" s="2014"/>
      <c r="M221" s="2015"/>
      <c r="V221" s="1169"/>
      <c r="W221" s="1169"/>
    </row>
    <row r="222" spans="1:23" s="44" customFormat="1" ht="18.95" customHeight="1">
      <c r="A222" s="43"/>
      <c r="C222" s="37" t="s">
        <v>3478</v>
      </c>
      <c r="D222" s="1592"/>
      <c r="G222" s="2090">
        <f>'Part IV-A-Uses of Funds'!$G$132</f>
        <v>11919387</v>
      </c>
      <c r="H222" s="2091"/>
      <c r="J222" s="2080">
        <f>IF($J221=0,0,$J221/$G$222)</f>
        <v>0.14848523669883359</v>
      </c>
      <c r="K222" s="2081"/>
      <c r="L222" s="2080">
        <f>IF($L221=0,0,$L221/$G$222)</f>
        <v>0</v>
      </c>
      <c r="M222" s="2081"/>
      <c r="V222" s="1169"/>
      <c r="W222" s="1169"/>
    </row>
    <row r="223" spans="1:23" s="105" customFormat="1" ht="18" customHeight="1" thickBot="1">
      <c r="A223" s="43"/>
      <c r="B223" s="1332" t="s">
        <v>3780</v>
      </c>
      <c r="C223" s="43"/>
      <c r="D223" s="49"/>
      <c r="E223" s="49"/>
      <c r="F223" s="49"/>
      <c r="G223" s="49"/>
      <c r="H223" s="37"/>
      <c r="I223" s="37"/>
      <c r="J223" s="37"/>
      <c r="K223" s="37"/>
      <c r="M223" s="47"/>
      <c r="N223" s="6"/>
      <c r="O223" s="3"/>
      <c r="P223" s="1584"/>
    </row>
    <row r="224" spans="1:23" s="44" customFormat="1" ht="231.95" customHeight="1" thickTop="1" thickBot="1">
      <c r="A224" s="2932" t="s">
        <v>4726</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2725</v>
      </c>
    </row>
    <row r="229" spans="1:23" s="44" customFormat="1" ht="11.25" customHeight="1">
      <c r="A229" s="143"/>
      <c r="B229" s="116" t="s">
        <v>4060</v>
      </c>
      <c r="D229" s="56" t="s">
        <v>4061</v>
      </c>
      <c r="K229" s="1293">
        <f>$O$189</f>
        <v>7</v>
      </c>
      <c r="L229" s="1294">
        <f>$P$189</f>
        <v>0</v>
      </c>
      <c r="N229" s="484" t="s">
        <v>2451</v>
      </c>
      <c r="O229" s="2929"/>
      <c r="P229" s="1005"/>
      <c r="R229" s="391"/>
    </row>
    <row r="230" spans="1:23" s="44" customFormat="1" ht="11.25" customHeight="1">
      <c r="A230" s="143"/>
      <c r="D230" s="56" t="s">
        <v>4062</v>
      </c>
      <c r="K230" s="1293">
        <f>$O$111</f>
        <v>3</v>
      </c>
      <c r="L230" s="1294">
        <f>$P$111</f>
        <v>0</v>
      </c>
      <c r="N230" s="484" t="s">
        <v>2452</v>
      </c>
      <c r="O230" s="2935"/>
      <c r="P230" s="562"/>
      <c r="R230" s="1169"/>
      <c r="S230" s="1169"/>
    </row>
    <row r="231" spans="1:23" s="44" customFormat="1" ht="11.25" customHeight="1">
      <c r="A231" s="143"/>
      <c r="D231" s="56" t="s">
        <v>4063</v>
      </c>
      <c r="N231" s="484" t="s">
        <v>2453</v>
      </c>
      <c r="O231" s="2928"/>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997"/>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4067</v>
      </c>
      <c r="D235" s="34"/>
      <c r="G235" s="495" t="s">
        <v>3811</v>
      </c>
      <c r="N235" s="28"/>
      <c r="O235" s="28"/>
      <c r="P235" s="28"/>
      <c r="Q235" s="1099"/>
    </row>
    <row r="236" spans="1:23" s="34" customFormat="1" ht="10.5" customHeight="1">
      <c r="A236" s="532"/>
      <c r="B236" s="139" t="s">
        <v>3891</v>
      </c>
      <c r="D236" s="3057"/>
      <c r="E236" s="3058"/>
      <c r="F236" s="3058"/>
      <c r="G236" s="3059"/>
      <c r="H236" s="3060"/>
      <c r="I236" s="1595" t="s">
        <v>2723</v>
      </c>
      <c r="J236" s="3057"/>
      <c r="K236" s="3058"/>
      <c r="L236" s="3058"/>
      <c r="M236" s="3058"/>
      <c r="N236" s="3060"/>
      <c r="O236" s="605"/>
      <c r="P236" s="605"/>
      <c r="Q236" s="1099"/>
    </row>
    <row r="237" spans="1:23" s="34" customFormat="1" ht="10.5" customHeight="1">
      <c r="A237" s="532"/>
      <c r="B237" s="139" t="s">
        <v>2210</v>
      </c>
      <c r="D237" s="3061"/>
      <c r="E237" s="3062"/>
      <c r="F237" s="3063"/>
      <c r="G237" s="139" t="s">
        <v>1734</v>
      </c>
      <c r="H237" s="3064"/>
      <c r="I237" s="448" t="s">
        <v>1813</v>
      </c>
      <c r="J237" s="3061"/>
      <c r="K237" s="3062"/>
      <c r="L237" s="3062"/>
      <c r="M237" s="3062"/>
      <c r="N237" s="306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4077</v>
      </c>
      <c r="D240" s="2012"/>
      <c r="E240" s="2012"/>
      <c r="F240" s="2012"/>
      <c r="G240" s="2012"/>
      <c r="H240" s="2012"/>
      <c r="I240" s="2012"/>
      <c r="J240" s="2012"/>
      <c r="K240" s="2012"/>
      <c r="L240" s="2012"/>
      <c r="N240" s="404" t="s">
        <v>2002</v>
      </c>
      <c r="O240" s="3065"/>
      <c r="P240" s="1262"/>
      <c r="Q240" s="1096"/>
      <c r="R240" s="28"/>
      <c r="S240" s="1177"/>
      <c r="V240" s="1169"/>
      <c r="W240" s="1169"/>
    </row>
    <row r="241" spans="1:23" s="34" customFormat="1" ht="10.5" customHeight="1">
      <c r="A241" s="532"/>
      <c r="B241" s="484" t="s">
        <v>2451</v>
      </c>
      <c r="C241" s="139" t="s">
        <v>4068</v>
      </c>
      <c r="D241" s="3066"/>
      <c r="E241" s="3067"/>
      <c r="F241" s="3067"/>
      <c r="G241" s="3058"/>
      <c r="H241" s="3068"/>
      <c r="I241" s="1595" t="s">
        <v>2723</v>
      </c>
      <c r="J241" s="3066"/>
      <c r="K241" s="3067"/>
      <c r="L241" s="3067"/>
      <c r="M241" s="3067"/>
      <c r="N241" s="3068"/>
      <c r="O241" s="2114" t="s">
        <v>4070</v>
      </c>
      <c r="P241" s="2115"/>
      <c r="Q241" s="1096"/>
      <c r="R241" s="28"/>
      <c r="V241" s="1169"/>
      <c r="W241" s="1169"/>
    </row>
    <row r="242" spans="1:23" s="34" customFormat="1" ht="10.5" customHeight="1">
      <c r="A242" s="532"/>
      <c r="C242" s="1179" t="s">
        <v>2210</v>
      </c>
      <c r="D242" s="3061"/>
      <c r="E242" s="3062"/>
      <c r="F242" s="3063"/>
      <c r="G242" s="1260" t="s">
        <v>1734</v>
      </c>
      <c r="H242" s="3064"/>
      <c r="I242" s="1178" t="s">
        <v>1813</v>
      </c>
      <c r="J242" s="3061"/>
      <c r="K242" s="3062"/>
      <c r="L242" s="3062"/>
      <c r="M242" s="3062"/>
      <c r="N242" s="3063"/>
      <c r="O242" s="2928"/>
      <c r="P242" s="563"/>
      <c r="Q242" s="1096"/>
      <c r="R242" s="28"/>
      <c r="V242" s="1169"/>
      <c r="W242" s="1169"/>
    </row>
    <row r="243" spans="1:23" s="34" customFormat="1" ht="10.5" customHeight="1">
      <c r="A243" s="532"/>
      <c r="B243" s="484" t="s">
        <v>2452</v>
      </c>
      <c r="C243" s="139" t="s">
        <v>4069</v>
      </c>
      <c r="D243" s="3066"/>
      <c r="E243" s="3067"/>
      <c r="F243" s="3067"/>
      <c r="G243" s="3058"/>
      <c r="H243" s="3068"/>
      <c r="I243" s="1595" t="s">
        <v>2723</v>
      </c>
      <c r="J243" s="3066"/>
      <c r="K243" s="3067"/>
      <c r="L243" s="3067"/>
      <c r="M243" s="3067"/>
      <c r="N243" s="3068"/>
      <c r="O243" s="2114" t="s">
        <v>4070</v>
      </c>
      <c r="P243" s="2115"/>
      <c r="Q243" s="1096"/>
      <c r="R243" s="28"/>
      <c r="V243" s="1169"/>
      <c r="W243" s="1169"/>
    </row>
    <row r="244" spans="1:23" s="34" customFormat="1" ht="10.5" customHeight="1">
      <c r="A244" s="532"/>
      <c r="C244" s="1179" t="s">
        <v>2210</v>
      </c>
      <c r="D244" s="3061"/>
      <c r="E244" s="3062"/>
      <c r="F244" s="3063"/>
      <c r="G244" s="1260" t="s">
        <v>1734</v>
      </c>
      <c r="H244" s="3064"/>
      <c r="I244" s="1178" t="s">
        <v>1813</v>
      </c>
      <c r="J244" s="3061"/>
      <c r="K244" s="3062"/>
      <c r="L244" s="3062"/>
      <c r="M244" s="3062"/>
      <c r="N244" s="3063"/>
      <c r="O244" s="2928"/>
      <c r="P244" s="563"/>
      <c r="Q244" s="1096"/>
      <c r="R244" s="28"/>
      <c r="V244" s="1169"/>
      <c r="W244" s="1169"/>
    </row>
    <row r="245" spans="1:23" ht="11.25" customHeight="1">
      <c r="A245" s="532"/>
      <c r="B245" s="621" t="s">
        <v>2004</v>
      </c>
      <c r="C245" s="1101" t="s">
        <v>4071</v>
      </c>
      <c r="D245" s="1096"/>
      <c r="E245" s="1096"/>
      <c r="F245" s="1096"/>
      <c r="G245" s="495" t="s">
        <v>3811</v>
      </c>
      <c r="H245" s="1096"/>
      <c r="I245" s="1096"/>
      <c r="J245" s="1096"/>
      <c r="K245" s="1096"/>
      <c r="L245" s="1096"/>
      <c r="M245" s="1096"/>
      <c r="N245" s="1096"/>
      <c r="O245" s="540" t="s">
        <v>2527</v>
      </c>
      <c r="P245" s="540" t="s">
        <v>2527</v>
      </c>
      <c r="Q245" s="1096"/>
    </row>
    <row r="246" spans="1:23" ht="21.75" customHeight="1">
      <c r="A246" s="532"/>
      <c r="B246" s="1103"/>
      <c r="C246" s="1942" t="s">
        <v>4186</v>
      </c>
      <c r="D246" s="1942"/>
      <c r="E246" s="1942"/>
      <c r="F246" s="1942"/>
      <c r="G246" s="1942"/>
      <c r="H246" s="1942"/>
      <c r="I246" s="1942"/>
      <c r="J246" s="1942"/>
      <c r="K246" s="1942"/>
      <c r="L246" s="1942"/>
      <c r="M246" s="1942"/>
      <c r="N246" s="404" t="s">
        <v>2004</v>
      </c>
      <c r="O246" s="3065"/>
      <c r="P246" s="1262"/>
      <c r="Q246" s="1100"/>
      <c r="V246" s="1169"/>
      <c r="W246" s="1169"/>
    </row>
    <row r="247" spans="1:23" ht="11.25" customHeight="1">
      <c r="A247" s="532"/>
      <c r="B247" s="484" t="s">
        <v>2451</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79"/>
      <c r="D248" s="2980"/>
      <c r="E248" s="2980"/>
      <c r="F248" s="2980"/>
      <c r="G248" s="2980"/>
      <c r="H248" s="2980"/>
      <c r="I248" s="2980"/>
      <c r="J248" s="2980"/>
      <c r="K248" s="2980"/>
      <c r="L248" s="2980"/>
      <c r="M248" s="2980"/>
      <c r="N248" s="2980"/>
      <c r="O248" s="2980"/>
      <c r="P248" s="2981"/>
      <c r="Q248" s="1174"/>
      <c r="V248" s="1169"/>
      <c r="W248" s="1169"/>
    </row>
    <row r="249" spans="1:23" ht="10.5" customHeight="1">
      <c r="A249" s="532"/>
      <c r="B249" s="1103"/>
      <c r="C249" s="2984"/>
      <c r="D249" s="2985"/>
      <c r="E249" s="2985"/>
      <c r="F249" s="2985"/>
      <c r="G249" s="2985"/>
      <c r="H249" s="2985"/>
      <c r="I249" s="2985"/>
      <c r="J249" s="2985"/>
      <c r="K249" s="2985"/>
      <c r="L249" s="2985"/>
      <c r="M249" s="2985"/>
      <c r="N249" s="2985"/>
      <c r="O249" s="2985"/>
      <c r="P249" s="2986"/>
      <c r="Q249" s="1100"/>
      <c r="V249" s="1169"/>
      <c r="W249" s="1169"/>
    </row>
    <row r="250" spans="1:23" ht="10.5" customHeight="1">
      <c r="A250" s="532"/>
      <c r="B250" s="1103"/>
      <c r="C250" s="2989"/>
      <c r="D250" s="2990"/>
      <c r="E250" s="2990"/>
      <c r="F250" s="2990"/>
      <c r="G250" s="2990"/>
      <c r="H250" s="2990"/>
      <c r="I250" s="2990"/>
      <c r="J250" s="2990"/>
      <c r="K250" s="2990"/>
      <c r="L250" s="2990"/>
      <c r="M250" s="2990"/>
      <c r="N250" s="2990"/>
      <c r="O250" s="2990"/>
      <c r="P250" s="2991"/>
      <c r="Q250" s="1100"/>
      <c r="V250" s="1169"/>
      <c r="W250" s="1169"/>
    </row>
    <row r="251" spans="1:23" ht="11.25" customHeight="1">
      <c r="A251" s="532"/>
      <c r="B251" s="484" t="s">
        <v>2452</v>
      </c>
      <c r="C251" s="1105" t="s">
        <v>4185</v>
      </c>
      <c r="D251" s="1591"/>
      <c r="E251" s="1591"/>
      <c r="F251" s="1591"/>
      <c r="G251" s="1591"/>
      <c r="H251" s="1591"/>
      <c r="I251" s="1591"/>
      <c r="J251" s="1591"/>
      <c r="K251" s="1591"/>
      <c r="L251" s="2022" t="s">
        <v>4189</v>
      </c>
      <c r="M251" s="2022"/>
      <c r="N251" s="2023" t="s">
        <v>4190</v>
      </c>
      <c r="O251" s="2023"/>
      <c r="P251" s="2023"/>
      <c r="Q251" s="1100"/>
      <c r="V251" s="1169"/>
      <c r="W251" s="1169"/>
    </row>
    <row r="252" spans="1:23" ht="10.5" customHeight="1">
      <c r="A252" s="532"/>
      <c r="B252" s="1103"/>
      <c r="C252" s="2979"/>
      <c r="D252" s="2980"/>
      <c r="E252" s="2980"/>
      <c r="F252" s="2980"/>
      <c r="G252" s="2980"/>
      <c r="H252" s="2980"/>
      <c r="I252" s="2980"/>
      <c r="J252" s="2980"/>
      <c r="K252" s="2981"/>
      <c r="L252" s="2979"/>
      <c r="M252" s="2981"/>
      <c r="N252" s="2979"/>
      <c r="O252" s="2980"/>
      <c r="P252" s="2981"/>
      <c r="Q252" s="1174"/>
      <c r="V252" s="1169"/>
      <c r="W252" s="1169"/>
    </row>
    <row r="253" spans="1:23" ht="10.5" customHeight="1">
      <c r="A253" s="532"/>
      <c r="B253" s="1103"/>
      <c r="C253" s="2984"/>
      <c r="D253" s="2985"/>
      <c r="E253" s="2985"/>
      <c r="F253" s="2985"/>
      <c r="G253" s="2985"/>
      <c r="H253" s="2985"/>
      <c r="I253" s="2985"/>
      <c r="J253" s="2985"/>
      <c r="K253" s="2986"/>
      <c r="L253" s="2984"/>
      <c r="M253" s="2986"/>
      <c r="N253" s="2984"/>
      <c r="O253" s="2985"/>
      <c r="P253" s="2986"/>
      <c r="Q253" s="1100"/>
      <c r="V253" s="1169"/>
      <c r="W253" s="1169"/>
    </row>
    <row r="254" spans="1:23" ht="10.5" customHeight="1">
      <c r="A254" s="532"/>
      <c r="B254" s="1103"/>
      <c r="C254" s="2989"/>
      <c r="D254" s="2990"/>
      <c r="E254" s="2990"/>
      <c r="F254" s="2990"/>
      <c r="G254" s="2990"/>
      <c r="H254" s="2990"/>
      <c r="I254" s="2990"/>
      <c r="J254" s="2990"/>
      <c r="K254" s="2991"/>
      <c r="L254" s="2989"/>
      <c r="M254" s="2991"/>
      <c r="N254" s="2989"/>
      <c r="O254" s="2990"/>
      <c r="P254" s="2991"/>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4076</v>
      </c>
      <c r="D256" s="2012"/>
      <c r="E256" s="2012"/>
      <c r="F256" s="2012"/>
      <c r="G256" s="2012"/>
      <c r="H256" s="2012"/>
      <c r="I256" s="2012"/>
      <c r="J256" s="2012"/>
      <c r="K256" s="2012"/>
      <c r="L256" s="2012"/>
      <c r="M256" s="2012"/>
      <c r="N256" s="404" t="s">
        <v>2551</v>
      </c>
      <c r="O256" s="2997"/>
      <c r="P256" s="560"/>
      <c r="Q256" s="1100"/>
      <c r="V256" s="1169"/>
      <c r="W256" s="1169"/>
    </row>
    <row r="257" spans="1:23" ht="10.5" customHeight="1">
      <c r="A257" s="143"/>
      <c r="B257" s="942" t="s">
        <v>1236</v>
      </c>
      <c r="C257" s="618" t="s">
        <v>3814</v>
      </c>
      <c r="D257" s="34"/>
      <c r="N257" s="28"/>
      <c r="O257" s="28"/>
      <c r="P257" s="28"/>
      <c r="Q257" s="117"/>
    </row>
    <row r="258" spans="1:23" s="34" customFormat="1" ht="21.75" customHeight="1">
      <c r="A258" s="532"/>
      <c r="B258" s="1104"/>
      <c r="C258" s="2019" t="s">
        <v>4078</v>
      </c>
      <c r="D258" s="2019"/>
      <c r="E258" s="2019"/>
      <c r="F258" s="2019"/>
      <c r="G258" s="2019"/>
      <c r="H258" s="2019"/>
      <c r="I258" s="2019"/>
      <c r="J258" s="2019"/>
      <c r="K258" s="2019"/>
      <c r="L258" s="2019"/>
      <c r="M258" s="2019"/>
      <c r="N258" s="404" t="s">
        <v>1236</v>
      </c>
      <c r="O258" s="3069"/>
      <c r="P258" s="1261"/>
      <c r="Q258" s="1100"/>
      <c r="V258" s="1169"/>
      <c r="W258" s="1169"/>
    </row>
    <row r="259" spans="1:23" s="34" customFormat="1" ht="10.5" customHeight="1">
      <c r="A259" s="532"/>
      <c r="B259" s="401" t="s">
        <v>2451</v>
      </c>
      <c r="C259" s="2012" t="s">
        <v>4079</v>
      </c>
      <c r="D259" s="2012"/>
      <c r="E259" s="2012"/>
      <c r="F259" s="2012"/>
      <c r="G259" s="2012"/>
      <c r="H259" s="2012"/>
      <c r="I259" s="2012"/>
      <c r="J259" s="2012"/>
      <c r="K259" s="2012"/>
      <c r="L259" s="2012"/>
      <c r="M259" s="2012"/>
      <c r="N259" s="401" t="s">
        <v>2451</v>
      </c>
      <c r="O259" s="2935"/>
      <c r="P259" s="562"/>
      <c r="Q259" s="1100"/>
      <c r="V259" s="1169"/>
      <c r="W259" s="1169"/>
    </row>
    <row r="260" spans="1:23" s="34" customFormat="1" ht="10.5" customHeight="1">
      <c r="A260" s="532"/>
      <c r="B260" s="401" t="s">
        <v>2452</v>
      </c>
      <c r="C260" s="2012" t="s">
        <v>4080</v>
      </c>
      <c r="D260" s="2012"/>
      <c r="E260" s="2012"/>
      <c r="F260" s="2012"/>
      <c r="G260" s="2012"/>
      <c r="H260" s="2012"/>
      <c r="I260" s="2012"/>
      <c r="J260" s="2012"/>
      <c r="K260" s="2012"/>
      <c r="L260" s="2012"/>
      <c r="M260" s="2012"/>
      <c r="N260" s="401" t="s">
        <v>2452</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4073</v>
      </c>
      <c r="D262" s="34"/>
      <c r="G262" s="495" t="s">
        <v>3811</v>
      </c>
      <c r="N262" s="28"/>
      <c r="O262" s="540" t="s">
        <v>2527</v>
      </c>
      <c r="P262" s="540" t="s">
        <v>2527</v>
      </c>
      <c r="Q262" s="1099"/>
    </row>
    <row r="263" spans="1:23" ht="21.75" customHeight="1">
      <c r="A263" s="532"/>
      <c r="B263" s="621" t="s">
        <v>2002</v>
      </c>
      <c r="C263" s="1942" t="s">
        <v>4074</v>
      </c>
      <c r="D263" s="1942"/>
      <c r="E263" s="1942"/>
      <c r="F263" s="1942"/>
      <c r="G263" s="1942"/>
      <c r="H263" s="1942"/>
      <c r="I263" s="1942"/>
      <c r="J263" s="1942"/>
      <c r="K263" s="1942"/>
      <c r="L263" s="1942"/>
      <c r="M263" s="1232" t="s">
        <v>2001</v>
      </c>
      <c r="N263" s="404" t="s">
        <v>2002</v>
      </c>
      <c r="O263" s="3069"/>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21.75" customHeight="1" thickTop="1" thickBot="1">
      <c r="A266" s="2968"/>
      <c r="B266" s="2969"/>
      <c r="C266" s="2969"/>
      <c r="D266" s="2969"/>
      <c r="E266" s="2969"/>
      <c r="F266" s="2969"/>
      <c r="G266" s="2969"/>
      <c r="H266" s="2969"/>
      <c r="I266" s="2969"/>
      <c r="J266" s="2969"/>
      <c r="K266" s="2969"/>
      <c r="L266" s="2969"/>
      <c r="M266" s="2969"/>
      <c r="N266" s="2969"/>
      <c r="O266" s="2969"/>
      <c r="P266" s="2970"/>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4232</v>
      </c>
      <c r="M270" s="1584">
        <v>7</v>
      </c>
      <c r="N270" s="7"/>
      <c r="O270" s="1252">
        <f>O272+O280+O282</f>
        <v>2</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3626</v>
      </c>
      <c r="B272" s="921" t="s">
        <v>3624</v>
      </c>
      <c r="C272" s="95"/>
      <c r="D272" s="60"/>
      <c r="E272" s="60"/>
      <c r="H272" s="179"/>
      <c r="M272" s="1235">
        <v>3</v>
      </c>
      <c r="N272" s="2018"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558"/>
      <c r="Q272" s="112"/>
      <c r="R272" s="44"/>
    </row>
    <row r="273" spans="1:21" ht="11.45" customHeight="1">
      <c r="A273" s="2112"/>
      <c r="B273" s="113" t="s">
        <v>2813</v>
      </c>
      <c r="C273" s="536"/>
      <c r="D273" s="536"/>
      <c r="H273" s="537" t="str">
        <f>'Part I-Project Information'!$H$100</f>
        <v>Flexible</v>
      </c>
      <c r="N273" s="2018"/>
      <c r="O273" s="1297" t="s">
        <v>2527</v>
      </c>
      <c r="P273" s="1297" t="s">
        <v>2527</v>
      </c>
    </row>
    <row r="274" spans="1:21" ht="11.45" customHeight="1">
      <c r="A274" s="2112"/>
      <c r="B274" s="942" t="s">
        <v>2002</v>
      </c>
      <c r="C274" s="454" t="s">
        <v>2702</v>
      </c>
      <c r="E274" s="120"/>
      <c r="M274" s="83"/>
      <c r="N274" s="2018"/>
      <c r="O274" s="2997" t="s">
        <v>3014</v>
      </c>
      <c r="P274" s="560"/>
      <c r="Q274" s="2074" t="str">
        <f>IF(AND(O274="Yes",O277="Yes"),"Only 1 or 4 can be 'Yes'!","")</f>
        <v/>
      </c>
      <c r="R274" s="2074"/>
    </row>
    <row r="275" spans="1:21" ht="11.45" customHeight="1">
      <c r="B275" s="942" t="s">
        <v>2004</v>
      </c>
      <c r="C275" s="454" t="s">
        <v>2758</v>
      </c>
      <c r="G275" s="103" t="s">
        <v>2405</v>
      </c>
      <c r="H275" s="3070">
        <v>0.1</v>
      </c>
      <c r="I275" s="454" t="s">
        <v>2759</v>
      </c>
      <c r="L275" s="139" t="s">
        <v>2757</v>
      </c>
      <c r="M275" s="944" t="str">
        <f>IF(O275&gt;H275,"CHECK ACTUAL PERCENT!!!","")</f>
        <v/>
      </c>
      <c r="N275" s="181" t="s">
        <v>2004</v>
      </c>
      <c r="O275" s="3071">
        <v>6.1499999999999999E-2</v>
      </c>
      <c r="P275" s="1287"/>
      <c r="Q275" s="2074"/>
      <c r="R275" s="2074"/>
    </row>
    <row r="276" spans="1:21" ht="11.45" customHeight="1">
      <c r="B276" s="942" t="s">
        <v>2551</v>
      </c>
      <c r="C276" s="430" t="s">
        <v>2406</v>
      </c>
      <c r="E276" s="120"/>
      <c r="G276" s="103" t="s">
        <v>2407</v>
      </c>
      <c r="J276" s="2075" t="s">
        <v>4083</v>
      </c>
      <c r="L276" s="448" t="s">
        <v>2751</v>
      </c>
      <c r="M276" s="34"/>
      <c r="N276" s="181" t="s">
        <v>2551</v>
      </c>
      <c r="O276" s="3072" t="s">
        <v>4647</v>
      </c>
      <c r="P276" s="1357" t="s">
        <v>203</v>
      </c>
      <c r="Q276" s="2074"/>
      <c r="R276" s="2074"/>
    </row>
    <row r="277" spans="1:21" s="406" customFormat="1" ht="11.45" customHeight="1">
      <c r="B277" s="621" t="s">
        <v>1236</v>
      </c>
      <c r="C277" s="1942" t="s">
        <v>4082</v>
      </c>
      <c r="D277" s="1942"/>
      <c r="E277" s="1942"/>
      <c r="F277" s="1942"/>
      <c r="G277" s="1942"/>
      <c r="H277" s="1942"/>
      <c r="I277" s="1942"/>
      <c r="J277" s="2077"/>
      <c r="K277" s="2075" t="s">
        <v>4081</v>
      </c>
      <c r="M277" s="1236">
        <v>2</v>
      </c>
      <c r="N277" s="181" t="s">
        <v>1236</v>
      </c>
      <c r="O277" s="3065" t="s">
        <v>3011</v>
      </c>
      <c r="P277" s="1262"/>
      <c r="Q277" s="2074"/>
      <c r="R277" s="2074"/>
    </row>
    <row r="278" spans="1:21" ht="11.45" customHeight="1">
      <c r="B278" s="389"/>
      <c r="C278" s="1942"/>
      <c r="D278" s="1942"/>
      <c r="E278" s="1942"/>
      <c r="F278" s="1942"/>
      <c r="G278" s="1942"/>
      <c r="H278" s="1942"/>
      <c r="I278" s="1942"/>
      <c r="J278" s="2076"/>
      <c r="K278" s="2076"/>
      <c r="L278" s="2020" t="s">
        <v>4146</v>
      </c>
      <c r="M278" s="2021"/>
      <c r="N278" s="120"/>
    </row>
    <row r="279" spans="1:21" ht="11.45" customHeight="1">
      <c r="B279" s="389"/>
      <c r="C279" s="1942"/>
      <c r="D279" s="1942"/>
      <c r="E279" s="1942"/>
      <c r="F279" s="1942"/>
      <c r="G279" s="1942"/>
      <c r="H279" s="1942"/>
      <c r="I279" s="1942"/>
      <c r="J279" s="3073">
        <v>1</v>
      </c>
      <c r="K279" s="3074">
        <v>0.12</v>
      </c>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3629</v>
      </c>
      <c r="C281" s="1290"/>
      <c r="D281" s="1290"/>
      <c r="E281" s="1290"/>
      <c r="F281" s="1290"/>
      <c r="G281" s="1290"/>
      <c r="H281" s="1288"/>
      <c r="I281" s="1288"/>
      <c r="O281" s="3075" t="s">
        <v>4648</v>
      </c>
      <c r="P281" s="1289" t="s">
        <v>203</v>
      </c>
    </row>
    <row r="282" spans="1:21" ht="11.45" customHeight="1">
      <c r="A282" s="539" t="s">
        <v>2131</v>
      </c>
      <c r="B282" s="942" t="s">
        <v>3627</v>
      </c>
      <c r="C282" s="430"/>
      <c r="E282" s="120"/>
      <c r="G282" s="495" t="s">
        <v>3628</v>
      </c>
      <c r="H282" s="943">
        <f>'Part VI-Revenues &amp; Expenses'!$O$59</f>
        <v>8</v>
      </c>
      <c r="I282" s="1097" t="s">
        <v>3631</v>
      </c>
      <c r="J282" s="943">
        <f>'Part VI-Revenues &amp; Expenses'!$O$62</f>
        <v>48</v>
      </c>
      <c r="K282" s="1097" t="s">
        <v>3632</v>
      </c>
      <c r="L282" s="945">
        <f>IF(J282=0,0,H282/J282)</f>
        <v>0.16666666666666666</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3827</v>
      </c>
      <c r="M286" s="1584">
        <v>10</v>
      </c>
      <c r="N286" s="7"/>
      <c r="O286" s="1194">
        <f>IF(OR(O287="Yes",O288="Yes"),$M$286,0)</f>
        <v>0</v>
      </c>
      <c r="P286" s="1194">
        <f>IF(OR(P287="Yes",P288="Yes"),$M$286,0)</f>
        <v>0</v>
      </c>
      <c r="Q286" s="112" t="s">
        <v>443</v>
      </c>
      <c r="R286" s="44"/>
    </row>
    <row r="287" spans="1:21" ht="11.25" customHeight="1">
      <c r="A287" s="1585" t="s">
        <v>1999</v>
      </c>
      <c r="B287" s="1238" t="s">
        <v>3818</v>
      </c>
      <c r="D287" s="655"/>
      <c r="E287" s="655"/>
      <c r="F287" s="655"/>
      <c r="G287" s="655"/>
      <c r="H287" s="655"/>
      <c r="I287" s="655"/>
      <c r="J287" s="655"/>
      <c r="K287" s="655"/>
      <c r="L287" s="1105"/>
      <c r="M287" s="2072" t="str">
        <f>IF(OR(SUM(T287:T288)&gt;1,SUM(U287:U288)&gt;1),"Only one category can be met by other means!","")</f>
        <v/>
      </c>
      <c r="N287" s="484" t="s">
        <v>1999</v>
      </c>
      <c r="O287" s="2929"/>
      <c r="P287" s="561"/>
      <c r="U287" s="1355">
        <f>IF(L287="Yes",1,0)</f>
        <v>0</v>
      </c>
    </row>
    <row r="288" spans="1:21" ht="11.25" customHeight="1">
      <c r="A288" s="1585" t="s">
        <v>2001</v>
      </c>
      <c r="B288" s="1238" t="s">
        <v>3819</v>
      </c>
      <c r="D288" s="655"/>
      <c r="L288" s="1105"/>
      <c r="M288" s="2072"/>
      <c r="N288" s="484" t="s">
        <v>2001</v>
      </c>
      <c r="O288" s="2928"/>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48" customHeight="1" thickTop="1" thickBot="1">
      <c r="A290" s="2932" t="s">
        <v>4657</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2813</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3709</v>
      </c>
      <c r="I295" s="446"/>
      <c r="J295" s="2110" t="str">
        <f>'Part I-Project Information'!$O$34</f>
        <v>No</v>
      </c>
      <c r="K295" s="2110"/>
      <c r="L295" s="995">
        <f>'Part I-Project Information'!$O$35</f>
        <v>0</v>
      </c>
      <c r="M295" s="75">
        <v>3</v>
      </c>
      <c r="N295" s="484" t="s">
        <v>1999</v>
      </c>
      <c r="O295" s="2961"/>
      <c r="P295" s="912"/>
      <c r="Q295" s="1090" t="str">
        <f>IF(OR($O295=$M295,$O295=0,$O295=""),"","*CHECK!*")</f>
        <v/>
      </c>
      <c r="R295" s="1192" t="s">
        <v>2725</v>
      </c>
    </row>
    <row r="296" spans="1:27" s="103" customFormat="1" ht="21.75" customHeight="1">
      <c r="B296" s="621" t="s">
        <v>2002</v>
      </c>
      <c r="C296" s="2019" t="s">
        <v>4245</v>
      </c>
      <c r="D296" s="2019"/>
      <c r="E296" s="2019"/>
      <c r="F296" s="2019"/>
      <c r="G296" s="2019"/>
      <c r="H296" s="2019"/>
      <c r="I296" s="2019"/>
      <c r="J296" s="2019"/>
      <c r="K296" s="2019"/>
      <c r="L296" s="2019"/>
      <c r="M296" s="2019"/>
      <c r="N296" s="404" t="s">
        <v>2002</v>
      </c>
      <c r="O296" s="3076" t="s">
        <v>3014</v>
      </c>
      <c r="P296" s="1241"/>
      <c r="Q296" s="2073" t="s">
        <v>4246</v>
      </c>
      <c r="R296" s="2019"/>
      <c r="S296" s="2019"/>
      <c r="T296" s="2019"/>
      <c r="U296" s="2019"/>
      <c r="V296" s="2019"/>
      <c r="W296" s="2019"/>
      <c r="X296" s="2019"/>
      <c r="Y296" s="2019"/>
      <c r="Z296" s="2019"/>
      <c r="AA296" s="1098"/>
    </row>
    <row r="297" spans="1:27" s="121" customFormat="1" ht="10.5" customHeight="1">
      <c r="B297" s="942"/>
      <c r="C297" s="139" t="s">
        <v>3833</v>
      </c>
      <c r="H297" s="448" t="s">
        <v>2600</v>
      </c>
      <c r="I297" s="3077"/>
      <c r="J297" s="448" t="s">
        <v>2317</v>
      </c>
      <c r="K297" s="3078"/>
      <c r="L297" s="3079"/>
      <c r="M297" s="3079"/>
      <c r="N297" s="3079"/>
      <c r="O297" s="3079"/>
      <c r="P297" s="3080"/>
    </row>
    <row r="298" spans="1:27" s="121" customFormat="1" ht="10.5" customHeight="1">
      <c r="B298" s="942"/>
      <c r="C298" s="139" t="s">
        <v>3888</v>
      </c>
      <c r="H298" s="448" t="s">
        <v>2600</v>
      </c>
      <c r="I298" s="3081"/>
      <c r="J298" s="448" t="s">
        <v>2317</v>
      </c>
      <c r="K298" s="3082"/>
      <c r="L298" s="3083"/>
      <c r="M298" s="3083"/>
      <c r="N298" s="3083"/>
      <c r="O298" s="3083"/>
      <c r="P298" s="3084"/>
    </row>
    <row r="299" spans="1:27" s="121" customFormat="1" ht="10.5" customHeight="1">
      <c r="B299" s="942" t="s">
        <v>2004</v>
      </c>
      <c r="C299" s="121" t="s">
        <v>972</v>
      </c>
      <c r="M299" s="7"/>
      <c r="N299" s="181" t="s">
        <v>2004</v>
      </c>
      <c r="O299" s="2978"/>
      <c r="P299" s="1005"/>
    </row>
    <row r="300" spans="1:27" s="121" customFormat="1" ht="10.5" customHeight="1">
      <c r="B300" s="942" t="s">
        <v>2551</v>
      </c>
      <c r="C300" s="121" t="s">
        <v>973</v>
      </c>
      <c r="M300" s="7"/>
      <c r="N300" s="181" t="s">
        <v>2551</v>
      </c>
      <c r="O300" s="2935"/>
      <c r="P300" s="562"/>
    </row>
    <row r="301" spans="1:27" s="121" customFormat="1" ht="10.5" customHeight="1">
      <c r="A301" s="532"/>
      <c r="B301" s="942" t="s">
        <v>1236</v>
      </c>
      <c r="C301" s="121" t="s">
        <v>974</v>
      </c>
      <c r="M301" s="7"/>
      <c r="N301" s="181" t="s">
        <v>1236</v>
      </c>
      <c r="O301" s="2928"/>
      <c r="P301" s="563"/>
    </row>
    <row r="302" spans="1:27" s="34" customFormat="1" ht="10.5" customHeight="1">
      <c r="A302" s="1585" t="s">
        <v>2001</v>
      </c>
      <c r="B302" s="184" t="s">
        <v>4087</v>
      </c>
      <c r="D302" s="620"/>
      <c r="H302" s="62" t="s">
        <v>3414</v>
      </c>
    </row>
    <row r="303" spans="1:27" s="34" customFormat="1" ht="10.5" customHeight="1">
      <c r="A303" s="1585"/>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965">
        <v>3</v>
      </c>
      <c r="P304" s="555"/>
      <c r="Q304" s="1090" t="str">
        <f>IF(OR($O304=$M304,$O304=0,$O304=""),"","*CHECK!*")</f>
        <v/>
      </c>
      <c r="R304" s="1192" t="s">
        <v>2725</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6"/>
      <c r="P305" s="557"/>
      <c r="Q305" s="1090" t="str">
        <f>IF(OR($O305=$M305,$O305=0,$O305=""),"","*CHECK!*")</f>
        <v/>
      </c>
      <c r="R305" s="1192" t="s">
        <v>2725</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2117" t="str">
        <f>IF(OR(AND(O308&gt;0,O310&gt;0), AND(O309&gt;0,O310&gt;0), AND(O308&gt;0,O309&gt;0)),"Choose option 1 or 2 or 3!!!","")</f>
        <v/>
      </c>
      <c r="L308" s="2117"/>
      <c r="M308" s="75">
        <v>4</v>
      </c>
      <c r="N308" s="450" t="s">
        <v>2002</v>
      </c>
      <c r="O308" s="2965"/>
      <c r="P308" s="555"/>
      <c r="Q308" s="1090" t="str">
        <f>IF(OR($O308=$M308,$O308=0,$O308=""),"","*CHECK!*")</f>
        <v/>
      </c>
      <c r="R308" s="1192" t="s">
        <v>2725</v>
      </c>
    </row>
    <row r="309" spans="1:21" ht="10.5" customHeight="1">
      <c r="A309" s="619" t="s">
        <v>1365</v>
      </c>
      <c r="B309" s="621" t="s">
        <v>2004</v>
      </c>
      <c r="C309" s="618" t="s">
        <v>4090</v>
      </c>
      <c r="D309" s="34"/>
      <c r="E309" s="34"/>
      <c r="F309" s="34"/>
      <c r="G309" s="41"/>
      <c r="H309" s="949"/>
      <c r="I309" s="41"/>
      <c r="K309" s="2117"/>
      <c r="L309" s="2117"/>
      <c r="M309" s="83">
        <v>3</v>
      </c>
      <c r="N309" s="948" t="s">
        <v>2004</v>
      </c>
      <c r="O309" s="3085"/>
      <c r="P309" s="556"/>
      <c r="Q309" s="1090" t="str">
        <f t="shared" ref="Q309:Q310" si="5">IF(OR($O309=$M309,$O309=0,$O309=""),"","*CHECK!*")</f>
        <v/>
      </c>
      <c r="R309" s="1192" t="s">
        <v>2725</v>
      </c>
    </row>
    <row r="310" spans="1:21" ht="10.5" customHeight="1">
      <c r="A310" s="619" t="s">
        <v>1365</v>
      </c>
      <c r="B310" s="621" t="s">
        <v>2551</v>
      </c>
      <c r="C310" s="455" t="s">
        <v>3637</v>
      </c>
      <c r="D310" s="34"/>
      <c r="E310" s="34"/>
      <c r="F310" s="34"/>
      <c r="G310" s="41"/>
      <c r="H310" s="62"/>
      <c r="I310" s="41"/>
      <c r="K310" s="2117"/>
      <c r="L310" s="2117"/>
      <c r="M310" s="83">
        <v>2</v>
      </c>
      <c r="N310" s="948" t="s">
        <v>2551</v>
      </c>
      <c r="O310" s="2966"/>
      <c r="P310" s="557"/>
      <c r="Q310" s="1090" t="str">
        <f t="shared" si="5"/>
        <v/>
      </c>
      <c r="R310" s="1192" t="s">
        <v>2725</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38.1" customHeight="1" thickTop="1" thickBot="1">
      <c r="A312" s="2932" t="s">
        <v>4662</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6">
        <v>1</v>
      </c>
      <c r="P317" s="1251"/>
      <c r="Q317" s="1090" t="str">
        <f>IF(OR($O317=$M317,$O317=0,$O317=""),"","*CHECK!*")</f>
        <v/>
      </c>
      <c r="R317" s="1192" t="s">
        <v>2725</v>
      </c>
      <c r="T317" s="1169"/>
      <c r="U317" s="1169"/>
    </row>
    <row r="318" spans="1:21" s="105" customFormat="1" ht="10.5" customHeight="1">
      <c r="A318" s="143"/>
      <c r="B318" s="41" t="s">
        <v>2708</v>
      </c>
      <c r="D318" s="62"/>
      <c r="E318" s="62"/>
      <c r="F318" s="45"/>
      <c r="G318" s="28"/>
      <c r="K318" s="484"/>
      <c r="M318" s="7"/>
      <c r="N318" s="484"/>
      <c r="O318" s="2928"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5"/>
      <c r="P319" s="555"/>
      <c r="Q319" s="1090" t="str">
        <f>IF(OR($O319=$M319,$O319=0,$O319=""),"","*CHECK!*")</f>
        <v/>
      </c>
      <c r="R319" s="1192" t="s">
        <v>2725</v>
      </c>
      <c r="T319" s="1169"/>
      <c r="U319" s="1169"/>
    </row>
    <row r="320" spans="1:21" s="44" customFormat="1" ht="10.5" customHeight="1">
      <c r="A320" s="143"/>
      <c r="B320" s="956" t="s">
        <v>4092</v>
      </c>
      <c r="D320" s="58"/>
      <c r="H320" s="1593"/>
      <c r="K320" s="53"/>
      <c r="L320" s="105"/>
      <c r="M320" s="7"/>
      <c r="N320" s="484"/>
      <c r="O320" s="2928" t="s">
        <v>3014</v>
      </c>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2801</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29"/>
      <c r="P326" s="561"/>
      <c r="R326" s="391"/>
    </row>
    <row r="327" spans="1:18" s="105" customFormat="1" ht="10.5" customHeight="1">
      <c r="A327" s="143"/>
      <c r="B327" s="389" t="s">
        <v>2004</v>
      </c>
      <c r="C327" s="37" t="s">
        <v>4113</v>
      </c>
      <c r="D327" s="34"/>
      <c r="N327" s="948" t="s">
        <v>2004</v>
      </c>
      <c r="O327" s="2935"/>
      <c r="P327" s="562"/>
      <c r="R327" s="391"/>
    </row>
    <row r="328" spans="1:18" s="105" customFormat="1" ht="10.5" customHeight="1">
      <c r="A328" s="143"/>
      <c r="B328" s="389" t="s">
        <v>2551</v>
      </c>
      <c r="C328" s="37" t="s">
        <v>4112</v>
      </c>
      <c r="D328" s="34"/>
      <c r="N328" s="948" t="s">
        <v>2551</v>
      </c>
      <c r="O328" s="2935"/>
      <c r="P328" s="562"/>
      <c r="R328" s="391"/>
    </row>
    <row r="329" spans="1:18" s="105" customFormat="1" ht="10.5" customHeight="1">
      <c r="A329" s="143"/>
      <c r="B329" s="389" t="s">
        <v>1236</v>
      </c>
      <c r="C329" s="37" t="s">
        <v>4114</v>
      </c>
      <c r="D329" s="34"/>
      <c r="N329" s="948" t="s">
        <v>1236</v>
      </c>
      <c r="O329" s="2928"/>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9"/>
      <c r="P331" s="561"/>
      <c r="Q331" s="112"/>
    </row>
    <row r="332" spans="1:18" s="105" customFormat="1" ht="10.5" customHeight="1">
      <c r="A332" s="143"/>
      <c r="B332" s="389" t="s">
        <v>2004</v>
      </c>
      <c r="C332" s="37" t="s">
        <v>4126</v>
      </c>
      <c r="D332" s="34"/>
      <c r="N332" s="948" t="s">
        <v>2004</v>
      </c>
      <c r="O332" s="2935"/>
      <c r="P332" s="562"/>
      <c r="R332" s="391"/>
    </row>
    <row r="333" spans="1:18" s="105" customFormat="1" ht="10.5" customHeight="1">
      <c r="A333" s="143"/>
      <c r="B333" s="389" t="s">
        <v>2551</v>
      </c>
      <c r="C333" s="37" t="s">
        <v>4114</v>
      </c>
      <c r="D333" s="34"/>
      <c r="N333" s="948" t="s">
        <v>2551</v>
      </c>
      <c r="O333" s="2928"/>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4096</v>
      </c>
      <c r="H337" s="37" t="s">
        <v>3601</v>
      </c>
      <c r="I337" s="1600" t="str">
        <f>'Part I-Project Information'!$H$100</f>
        <v>Flexible</v>
      </c>
      <c r="J337" s="1599"/>
      <c r="L337" s="391" t="str">
        <f>IF(OR($O337=$M337,$O337=0,$O337=""),"","* * Check Score! * *")</f>
        <v/>
      </c>
      <c r="M337" s="1584">
        <v>1</v>
      </c>
      <c r="N337" s="410"/>
      <c r="O337" s="3087">
        <v>1</v>
      </c>
      <c r="P337" s="1250"/>
      <c r="Q337" s="112" t="s">
        <v>443</v>
      </c>
      <c r="R337" s="1192" t="s">
        <v>2725</v>
      </c>
    </row>
    <row r="338" spans="1:18" s="64" customFormat="1" ht="12" customHeight="1">
      <c r="A338" s="1892" t="s">
        <v>4194</v>
      </c>
      <c r="B338" s="1892"/>
      <c r="C338" s="1892"/>
      <c r="D338" s="1892"/>
      <c r="E338" s="1892"/>
      <c r="F338" s="1892"/>
      <c r="G338" s="1892"/>
      <c r="H338" s="1892"/>
      <c r="I338" s="2109" t="s">
        <v>4195</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88" t="s">
        <v>4700</v>
      </c>
      <c r="J339" s="3088"/>
      <c r="K339" s="3088"/>
      <c r="L339" s="3088" t="s">
        <v>4702</v>
      </c>
      <c r="M339" s="3088"/>
      <c r="N339" s="3088"/>
      <c r="O339" s="3088"/>
      <c r="P339" s="3088"/>
      <c r="R339" s="391"/>
    </row>
    <row r="340" spans="1:18" s="64" customFormat="1" ht="12" customHeight="1">
      <c r="A340" s="1892"/>
      <c r="B340" s="1892"/>
      <c r="C340" s="1892"/>
      <c r="D340" s="1892"/>
      <c r="E340" s="1892"/>
      <c r="F340" s="1892"/>
      <c r="G340" s="1892"/>
      <c r="H340" s="1892"/>
      <c r="I340" s="3089" t="s">
        <v>4701</v>
      </c>
      <c r="J340" s="3089"/>
      <c r="K340" s="3089"/>
      <c r="L340" s="3089">
        <v>4</v>
      </c>
      <c r="M340" s="3089"/>
      <c r="N340" s="3089"/>
      <c r="O340" s="3089"/>
      <c r="P340" s="3089"/>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2932" t="s">
        <v>4703</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1">
        <v>0</v>
      </c>
      <c r="P347" s="1231"/>
      <c r="Q347" s="1090" t="str">
        <f>IF(OR($O347=$M347,$O347=0,$O347=""),"","*CHECK!*")</f>
        <v/>
      </c>
      <c r="R347" s="1192" t="s">
        <v>2725</v>
      </c>
    </row>
    <row r="348" spans="1:18" s="44" customFormat="1" ht="11.25" customHeight="1">
      <c r="B348" s="41" t="s">
        <v>4100</v>
      </c>
      <c r="D348" s="105"/>
      <c r="E348" s="91"/>
      <c r="F348" s="53"/>
      <c r="G348" s="53"/>
      <c r="H348" s="3090" t="s">
        <v>2539</v>
      </c>
      <c r="I348" s="3059"/>
      <c r="J348" s="3059"/>
      <c r="K348" s="3091"/>
      <c r="N348" s="484" t="s">
        <v>1999</v>
      </c>
      <c r="O348" s="1297" t="s">
        <v>2527</v>
      </c>
      <c r="P348" s="1297" t="s">
        <v>2527</v>
      </c>
    </row>
    <row r="349" spans="1:18" s="121" customFormat="1" ht="10.5" customHeight="1">
      <c r="B349" s="450" t="s">
        <v>2002</v>
      </c>
      <c r="C349" s="448" t="s">
        <v>4097</v>
      </c>
      <c r="N349" s="450" t="s">
        <v>2002</v>
      </c>
      <c r="O349" s="2929"/>
      <c r="P349" s="561"/>
    </row>
    <row r="350" spans="1:18" s="121" customFormat="1" ht="10.5" customHeight="1">
      <c r="B350" s="450" t="s">
        <v>2004</v>
      </c>
      <c r="C350" s="448" t="s">
        <v>4098</v>
      </c>
      <c r="N350" s="450" t="s">
        <v>2004</v>
      </c>
      <c r="O350" s="2935"/>
      <c r="P350" s="562"/>
    </row>
    <row r="351" spans="1:18" s="121" customFormat="1" ht="10.5" customHeight="1">
      <c r="B351" s="450" t="s">
        <v>2551</v>
      </c>
      <c r="C351" s="448" t="s">
        <v>4099</v>
      </c>
      <c r="N351" s="450" t="s">
        <v>2551</v>
      </c>
      <c r="O351" s="2928"/>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2816</v>
      </c>
      <c r="D354" s="34"/>
      <c r="H354" s="2070" t="s">
        <v>3509</v>
      </c>
      <c r="I354" s="2070"/>
      <c r="J354" s="2070"/>
      <c r="K354" s="2070"/>
      <c r="L354" s="2070"/>
      <c r="M354" s="1236">
        <v>1</v>
      </c>
      <c r="N354" s="67" t="s">
        <v>2001</v>
      </c>
      <c r="O354" s="2971">
        <v>0</v>
      </c>
      <c r="P354" s="1231"/>
      <c r="Q354" s="1090" t="str">
        <f>IF(OR($O354=$M354,$O354=0,$O354=""),"","*CHECK!*")</f>
        <v/>
      </c>
      <c r="R354" s="1192" t="s">
        <v>2725</v>
      </c>
    </row>
    <row r="355" spans="1:19" s="34" customFormat="1" ht="10.5" customHeight="1">
      <c r="B355" s="515" t="s">
        <v>2817</v>
      </c>
      <c r="E355" s="620"/>
      <c r="O355" s="2976"/>
      <c r="P355" s="566"/>
      <c r="Q355" s="179"/>
    </row>
    <row r="356" spans="1:19" s="34" customFormat="1" ht="10.5" customHeight="1">
      <c r="A356" s="532"/>
      <c r="B356" s="139" t="s">
        <v>3643</v>
      </c>
      <c r="C356" s="953" t="str">
        <f>'Part I-Project Information'!$F$38</f>
        <v>Atlanta</v>
      </c>
      <c r="E356" s="139" t="s">
        <v>3508</v>
      </c>
      <c r="F356" s="953" t="str">
        <f>'Part I-Project Information'!$J$39</f>
        <v>Fulton</v>
      </c>
      <c r="H356" s="448" t="s">
        <v>455</v>
      </c>
      <c r="I356" s="910" t="str">
        <f>'Part I-Project Information'!$N$39</f>
        <v>Yes</v>
      </c>
      <c r="K356" s="448" t="s">
        <v>3642</v>
      </c>
      <c r="L356" s="2057" t="str">
        <f>'Part I-Project Information'!$O$38</f>
        <v>13121009200</v>
      </c>
      <c r="M356" s="2057"/>
      <c r="N356" s="2057"/>
      <c r="O356" s="2057"/>
      <c r="P356" s="2057"/>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1.75" customHeight="1" thickTop="1" thickBot="1">
      <c r="A358" s="2932" t="s">
        <v>4704</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2813</v>
      </c>
      <c r="J362" s="537" t="str">
        <f>'Part I-Project Information'!$H$100</f>
        <v>Flexible</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2847</v>
      </c>
      <c r="E364" s="91"/>
      <c r="F364" s="53"/>
      <c r="G364" s="53"/>
      <c r="H364" s="53"/>
      <c r="I364" s="53"/>
      <c r="J364" s="55"/>
      <c r="K364" s="61"/>
      <c r="L364" s="2071" t="str">
        <f>IF(OR(O364="No",O364="",O365="No",O365="",O366="No",O366="",O367="No",O367=""),"Unmet criterion results in no points!","")</f>
        <v/>
      </c>
      <c r="M364" s="2071"/>
      <c r="N364" s="390" t="s">
        <v>2451</v>
      </c>
      <c r="O364" s="2929" t="s">
        <v>3011</v>
      </c>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3836</v>
      </c>
      <c r="L365" s="2071"/>
      <c r="M365" s="2071"/>
      <c r="N365" s="402" t="s">
        <v>2452</v>
      </c>
      <c r="O365" s="2935" t="s">
        <v>3011</v>
      </c>
      <c r="P365" s="562"/>
      <c r="R365" s="2069"/>
      <c r="S365" s="2069"/>
    </row>
    <row r="366" spans="1:19" s="103" customFormat="1" ht="10.5" customHeight="1">
      <c r="B366" s="390" t="s">
        <v>2453</v>
      </c>
      <c r="C366" s="446" t="s">
        <v>3835</v>
      </c>
      <c r="L366" s="2071"/>
      <c r="M366" s="2071"/>
      <c r="N366" s="390" t="s">
        <v>2453</v>
      </c>
      <c r="O366" s="2935" t="s">
        <v>3011</v>
      </c>
      <c r="P366" s="562"/>
      <c r="R366" s="2069"/>
      <c r="S366" s="2069"/>
    </row>
    <row r="367" spans="1:19" s="103" customFormat="1" ht="29.25" customHeight="1">
      <c r="B367" s="402" t="s">
        <v>2454</v>
      </c>
      <c r="C367" s="2012" t="s">
        <v>4104</v>
      </c>
      <c r="D367" s="2012"/>
      <c r="E367" s="2012"/>
      <c r="F367" s="2012"/>
      <c r="G367" s="2012"/>
      <c r="H367" s="2012"/>
      <c r="I367" s="2012"/>
      <c r="J367" s="2012"/>
      <c r="K367" s="2012"/>
      <c r="L367" s="2012"/>
      <c r="M367" s="2012"/>
      <c r="N367" s="402" t="s">
        <v>2454</v>
      </c>
      <c r="O367" s="3092" t="s">
        <v>3011</v>
      </c>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4105</v>
      </c>
      <c r="L369" s="391" t="str">
        <f>IF(OR($O369=$M369,$O369=0,$O369=""),"","* * Check Score! * *")</f>
        <v/>
      </c>
      <c r="M369" s="1236">
        <v>3</v>
      </c>
      <c r="N369" s="484" t="s">
        <v>1999</v>
      </c>
      <c r="O369" s="2961">
        <v>3</v>
      </c>
      <c r="P369" s="912"/>
      <c r="Q369" s="1090" t="str">
        <f>IF(OR($O369=$M369,$O369=0,$O369=""),"","*CHECK!*")</f>
        <v/>
      </c>
      <c r="R369" s="1192" t="s">
        <v>2725</v>
      </c>
    </row>
    <row r="370" spans="1:18" ht="22.5" customHeight="1">
      <c r="A370" s="1124"/>
      <c r="B370" s="456" t="s">
        <v>2002</v>
      </c>
      <c r="C370" s="2019" t="s">
        <v>4106</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3093"/>
      <c r="K371" s="3094"/>
      <c r="L371" s="390" t="s">
        <v>2451</v>
      </c>
      <c r="M371" s="2103"/>
      <c r="N371" s="2104"/>
      <c r="O371" s="2104"/>
      <c r="P371" s="2105"/>
      <c r="R371" s="391"/>
    </row>
    <row r="372" spans="1:18" ht="10.5" customHeight="1">
      <c r="A372" s="183"/>
      <c r="B372" s="402" t="s">
        <v>2452</v>
      </c>
      <c r="C372" s="37" t="s">
        <v>3647</v>
      </c>
      <c r="I372" s="402" t="s">
        <v>2452</v>
      </c>
      <c r="J372" s="3095"/>
      <c r="K372" s="3096"/>
      <c r="L372" s="402" t="s">
        <v>2452</v>
      </c>
      <c r="M372" s="2036"/>
      <c r="N372" s="2037"/>
      <c r="O372" s="2037"/>
      <c r="P372" s="2038"/>
      <c r="R372" s="391"/>
    </row>
    <row r="373" spans="1:18" ht="10.5" customHeight="1">
      <c r="B373" s="390" t="s">
        <v>2453</v>
      </c>
      <c r="C373" s="37" t="s">
        <v>2643</v>
      </c>
      <c r="I373" s="390" t="s">
        <v>2453</v>
      </c>
      <c r="J373" s="3095"/>
      <c r="K373" s="3096"/>
      <c r="L373" s="390" t="s">
        <v>2453</v>
      </c>
      <c r="M373" s="2036"/>
      <c r="N373" s="2037"/>
      <c r="O373" s="2037"/>
      <c r="P373" s="2038"/>
      <c r="R373" s="391"/>
    </row>
    <row r="374" spans="1:18" ht="10.5" customHeight="1">
      <c r="A374" s="183"/>
      <c r="B374" s="390" t="s">
        <v>2454</v>
      </c>
      <c r="C374" s="37" t="s">
        <v>3484</v>
      </c>
      <c r="I374" s="390" t="s">
        <v>2454</v>
      </c>
      <c r="J374" s="3095"/>
      <c r="K374" s="3096"/>
      <c r="L374" s="390" t="s">
        <v>2454</v>
      </c>
      <c r="M374" s="2036"/>
      <c r="N374" s="2037"/>
      <c r="O374" s="2037"/>
      <c r="P374" s="2038"/>
      <c r="R374" s="391"/>
    </row>
    <row r="375" spans="1:18" s="44" customFormat="1" ht="10.5" customHeight="1">
      <c r="A375" s="182"/>
      <c r="B375" s="402" t="s">
        <v>2455</v>
      </c>
      <c r="C375" s="37" t="s">
        <v>2750</v>
      </c>
      <c r="I375" s="402" t="s">
        <v>2455</v>
      </c>
      <c r="J375" s="3095"/>
      <c r="K375" s="3096"/>
      <c r="L375" s="402" t="s">
        <v>2455</v>
      </c>
      <c r="M375" s="2036"/>
      <c r="N375" s="2037"/>
      <c r="O375" s="2037"/>
      <c r="P375" s="2038"/>
      <c r="R375" s="391"/>
    </row>
    <row r="376" spans="1:18" ht="10.5" customHeight="1">
      <c r="B376" s="390" t="s">
        <v>2471</v>
      </c>
      <c r="C376" s="37" t="s">
        <v>1493</v>
      </c>
      <c r="I376" s="390" t="s">
        <v>2471</v>
      </c>
      <c r="J376" s="3095"/>
      <c r="K376" s="3096"/>
      <c r="L376" s="390" t="s">
        <v>2471</v>
      </c>
      <c r="M376" s="2036"/>
      <c r="N376" s="2037"/>
      <c r="O376" s="2037"/>
      <c r="P376" s="2038"/>
      <c r="R376" s="391"/>
    </row>
    <row r="377" spans="1:18" ht="10.5" customHeight="1">
      <c r="A377" s="183"/>
      <c r="B377" s="390" t="s">
        <v>2472</v>
      </c>
      <c r="C377" s="37" t="s">
        <v>3645</v>
      </c>
      <c r="I377" s="390" t="s">
        <v>2472</v>
      </c>
      <c r="J377" s="3095"/>
      <c r="K377" s="3096"/>
      <c r="L377" s="390" t="s">
        <v>2472</v>
      </c>
      <c r="M377" s="2036"/>
      <c r="N377" s="2037"/>
      <c r="O377" s="2037"/>
      <c r="P377" s="2038"/>
      <c r="R377" s="391"/>
    </row>
    <row r="378" spans="1:18" ht="10.5" customHeight="1">
      <c r="A378" s="183"/>
      <c r="B378" s="401" t="s">
        <v>2473</v>
      </c>
      <c r="C378" s="37" t="s">
        <v>4109</v>
      </c>
      <c r="I378" s="401" t="s">
        <v>2473</v>
      </c>
      <c r="J378" s="3095"/>
      <c r="K378" s="3096"/>
      <c r="L378" s="401" t="s">
        <v>2473</v>
      </c>
      <c r="M378" s="2036"/>
      <c r="N378" s="2037"/>
      <c r="O378" s="2037"/>
      <c r="P378" s="2038"/>
      <c r="R378" s="391"/>
    </row>
    <row r="379" spans="1:18" ht="10.5" customHeight="1">
      <c r="B379" s="401" t="s">
        <v>2474</v>
      </c>
      <c r="C379" s="37" t="s">
        <v>3646</v>
      </c>
      <c r="I379" s="401" t="s">
        <v>2474</v>
      </c>
      <c r="J379" s="3095"/>
      <c r="K379" s="3096"/>
      <c r="L379" s="401" t="s">
        <v>2474</v>
      </c>
      <c r="M379" s="2036"/>
      <c r="N379" s="2037"/>
      <c r="O379" s="2037"/>
      <c r="P379" s="2038"/>
      <c r="R379" s="391"/>
    </row>
    <row r="380" spans="1:18" ht="10.5" customHeight="1" thickBot="1">
      <c r="B380" s="401" t="s">
        <v>3648</v>
      </c>
      <c r="C380" s="37" t="s">
        <v>4188</v>
      </c>
      <c r="I380" s="401" t="s">
        <v>3648</v>
      </c>
      <c r="J380" s="3095">
        <v>1200000</v>
      </c>
      <c r="K380" s="3096"/>
      <c r="L380" s="401" t="s">
        <v>3648</v>
      </c>
      <c r="M380" s="2097"/>
      <c r="N380" s="2098"/>
      <c r="O380" s="2098"/>
      <c r="P380" s="2099"/>
      <c r="R380" s="391"/>
    </row>
    <row r="381" spans="1:18" ht="10.5" customHeight="1" thickBot="1">
      <c r="A381" s="183"/>
      <c r="B381" s="1295" t="s">
        <v>4110</v>
      </c>
      <c r="H381" s="1331" t="s">
        <v>2645</v>
      </c>
      <c r="J381" s="2100">
        <f>SUM(J371:K380)</f>
        <v>1200000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7">
        <v>11919387</v>
      </c>
      <c r="I383" s="1230"/>
      <c r="J383" s="2065">
        <f>'Part IV-A-Uses of Funds'!$G$132</f>
        <v>11919387</v>
      </c>
      <c r="K383" s="2066"/>
      <c r="M383" s="526"/>
      <c r="N383" s="526"/>
      <c r="O383" s="164"/>
      <c r="P383" s="526"/>
    </row>
    <row r="384" spans="1:18" ht="10.5" customHeight="1">
      <c r="A384" s="2024" t="s">
        <v>4300</v>
      </c>
      <c r="B384" s="2024"/>
      <c r="C384" s="2024"/>
      <c r="D384" s="2024"/>
      <c r="E384" s="453" t="s">
        <v>2647</v>
      </c>
      <c r="H384" s="3098">
        <v>0.100676</v>
      </c>
      <c r="I384" s="1230"/>
      <c r="J384" s="2092">
        <f>IF($J383=0,0,$J381/$J383)</f>
        <v>0.10067631833751182</v>
      </c>
      <c r="K384" s="2093"/>
      <c r="M384" s="2094">
        <f>IF($J383=0,0,$M381/$J383)</f>
        <v>0</v>
      </c>
      <c r="N384" s="2095"/>
      <c r="O384" s="2095"/>
      <c r="P384" s="2096"/>
    </row>
    <row r="385" spans="1:23" s="44" customFormat="1" ht="10.5" customHeight="1">
      <c r="A385" s="2024"/>
      <c r="B385" s="2024"/>
      <c r="C385" s="2024"/>
      <c r="D385" s="2024"/>
      <c r="E385" s="1160" t="s">
        <v>4299</v>
      </c>
      <c r="H385" s="3099">
        <v>3</v>
      </c>
      <c r="I385" s="1230"/>
      <c r="J385" s="2118">
        <f>IF(L364="", IF($J384&gt;=0.1, 3,IF($J384&gt;=0.05, 2,IF($J384&gt;=0.02,1,0))),0)</f>
        <v>3</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1"/>
      <c r="P387" s="1231"/>
      <c r="Q387" s="112" t="s">
        <v>443</v>
      </c>
      <c r="R387" s="1192" t="s">
        <v>2725</v>
      </c>
      <c r="V387" s="1169"/>
      <c r="W387" s="1169"/>
    </row>
    <row r="388" spans="1:23" s="44" customFormat="1" ht="22.5" customHeight="1">
      <c r="A388" s="143"/>
      <c r="B388" s="1102" t="s">
        <v>2451</v>
      </c>
      <c r="C388" s="1892" t="s">
        <v>4107</v>
      </c>
      <c r="D388" s="1892"/>
      <c r="E388" s="1892"/>
      <c r="F388" s="1892"/>
      <c r="G388" s="1892"/>
      <c r="H388" s="1892"/>
      <c r="I388" s="1892"/>
      <c r="J388" s="1892"/>
      <c r="K388" s="1892"/>
      <c r="L388" s="1892"/>
      <c r="M388" s="1892"/>
      <c r="N388" s="402" t="s">
        <v>2451</v>
      </c>
      <c r="O388" s="3100" t="s">
        <v>3014</v>
      </c>
      <c r="P388" s="1248"/>
      <c r="V388" s="1169"/>
      <c r="W388" s="1169"/>
    </row>
    <row r="389" spans="1:23" s="44" customFormat="1" ht="10.5" customHeight="1">
      <c r="A389" s="143"/>
      <c r="B389" s="390" t="s">
        <v>2452</v>
      </c>
      <c r="C389" s="53" t="s">
        <v>3828</v>
      </c>
      <c r="D389" s="53"/>
      <c r="E389" s="53"/>
      <c r="F389" s="53"/>
      <c r="G389" s="53"/>
      <c r="H389" s="53"/>
      <c r="I389" s="53"/>
      <c r="J389" s="53"/>
      <c r="K389" s="53"/>
      <c r="M389" s="53"/>
      <c r="N389" s="402" t="s">
        <v>2452</v>
      </c>
      <c r="O389" s="2928"/>
      <c r="P389" s="563"/>
      <c r="V389" s="1169"/>
      <c r="W389" s="1169"/>
    </row>
    <row r="390" spans="1:23" ht="10.5" customHeight="1">
      <c r="B390" s="390" t="s">
        <v>2453</v>
      </c>
      <c r="C390" s="446" t="s">
        <v>4108</v>
      </c>
      <c r="N390" s="390" t="s">
        <v>2453</v>
      </c>
      <c r="O390" s="2928"/>
      <c r="P390" s="563"/>
    </row>
    <row r="391" spans="1:23" ht="12" customHeight="1" thickBot="1">
      <c r="B391" s="1332" t="s">
        <v>3780</v>
      </c>
    </row>
    <row r="392" spans="1:23" s="44" customFormat="1" ht="32.1" customHeight="1" thickTop="1" thickBot="1">
      <c r="A392" s="2932" t="s">
        <v>4741</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2738</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3839</v>
      </c>
      <c r="K397" s="1337"/>
      <c r="L397" s="1125">
        <f>'Part VI-Revenues &amp; Expenses'!$O$62*0.1</f>
        <v>4.8000000000000007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3838</v>
      </c>
      <c r="D398" s="1893"/>
      <c r="E398" s="1893"/>
      <c r="F398" s="1893"/>
      <c r="G398" s="1893"/>
      <c r="H398" s="1893"/>
      <c r="I398" s="1893"/>
      <c r="J398" s="1338" t="s">
        <v>3841</v>
      </c>
      <c r="K398" s="1334"/>
      <c r="L398" s="1127">
        <f>'Part VI-Revenues &amp; Expenses'!$O$58</f>
        <v>40</v>
      </c>
      <c r="M398" s="2059" t="str">
        <f>IF(L400&lt;L399,"Check 1BR LI count!","")</f>
        <v/>
      </c>
      <c r="N398" s="404" t="s">
        <v>2002</v>
      </c>
      <c r="O398" s="3065" t="s">
        <v>4629</v>
      </c>
      <c r="P398" s="1262"/>
      <c r="Q398" s="541"/>
      <c r="R398" s="535"/>
    </row>
    <row r="399" spans="1:23" s="427" customFormat="1" ht="11.25" customHeight="1">
      <c r="A399" s="148"/>
      <c r="B399" s="456"/>
      <c r="C399" s="1893"/>
      <c r="D399" s="1893"/>
      <c r="E399" s="1893"/>
      <c r="F399" s="1893"/>
      <c r="G399" s="1893"/>
      <c r="H399" s="1893"/>
      <c r="I399" s="1893"/>
      <c r="J399" s="1338" t="s">
        <v>3842</v>
      </c>
      <c r="K399" s="1335"/>
      <c r="L399" s="1128">
        <f>L398*0.1</f>
        <v>4</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3843</v>
      </c>
      <c r="K400" s="1340"/>
      <c r="L400" s="1129">
        <f>'Part VI-Revenues &amp; Expenses'!$K$58</f>
        <v>6</v>
      </c>
      <c r="M400" s="2059"/>
      <c r="N400" s="404"/>
      <c r="O400" s="404"/>
      <c r="P400" s="404"/>
      <c r="Q400" s="541"/>
      <c r="R400" s="535"/>
    </row>
    <row r="401" spans="1:18" s="451" customFormat="1" ht="11.25" customHeight="1">
      <c r="A401" s="552"/>
      <c r="B401" s="456" t="s">
        <v>2004</v>
      </c>
      <c r="C401" s="2058" t="s">
        <v>3416</v>
      </c>
      <c r="D401" s="2058"/>
      <c r="E401" s="2058"/>
      <c r="F401" s="2058"/>
      <c r="G401" s="2058"/>
      <c r="H401" s="2058"/>
      <c r="I401" s="2058"/>
      <c r="J401" s="2058"/>
      <c r="K401" s="2058"/>
      <c r="L401" s="2058"/>
      <c r="M401" s="2058"/>
      <c r="N401" s="404" t="s">
        <v>2004</v>
      </c>
      <c r="O401" s="2929" t="s">
        <v>3011</v>
      </c>
      <c r="P401" s="561"/>
    </row>
    <row r="402" spans="1:18" s="451" customFormat="1" ht="11.25" customHeight="1">
      <c r="A402" s="552"/>
      <c r="B402" s="456" t="s">
        <v>2551</v>
      </c>
      <c r="C402" s="405" t="s">
        <v>3840</v>
      </c>
      <c r="D402" s="405"/>
      <c r="E402" s="405"/>
      <c r="F402" s="405"/>
      <c r="G402" s="405"/>
      <c r="H402" s="405"/>
      <c r="I402" s="405"/>
      <c r="J402" s="405"/>
      <c r="K402" s="405"/>
      <c r="L402" s="405"/>
      <c r="M402" s="405"/>
      <c r="N402" s="404" t="s">
        <v>2551</v>
      </c>
      <c r="O402" s="2935" t="s">
        <v>3011</v>
      </c>
      <c r="P402" s="562"/>
    </row>
    <row r="403" spans="1:18" s="451" customFormat="1" ht="11.25" customHeight="1">
      <c r="A403" s="552"/>
      <c r="B403" s="456" t="s">
        <v>1236</v>
      </c>
      <c r="C403" s="2058" t="s">
        <v>3837</v>
      </c>
      <c r="D403" s="2058"/>
      <c r="E403" s="2058"/>
      <c r="F403" s="2058"/>
      <c r="G403" s="2058"/>
      <c r="H403" s="2058"/>
      <c r="I403" s="2058"/>
      <c r="J403" s="2058"/>
      <c r="K403" s="2058"/>
      <c r="L403" s="2058"/>
      <c r="M403" s="2058"/>
      <c r="N403" s="404" t="s">
        <v>1236</v>
      </c>
      <c r="O403" s="2928"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2739</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3860</v>
      </c>
      <c r="D406" s="1893"/>
      <c r="E406" s="1893"/>
      <c r="F406" s="1893"/>
      <c r="G406" s="1893"/>
      <c r="H406" s="1893"/>
      <c r="I406" s="1893"/>
      <c r="J406" s="1893"/>
      <c r="K406" s="1893"/>
      <c r="L406" s="1893"/>
      <c r="M406" s="622"/>
      <c r="N406" s="404" t="s">
        <v>2002</v>
      </c>
      <c r="O406" s="3065"/>
      <c r="P406" s="1262"/>
      <c r="Q406" s="541"/>
      <c r="R406" s="535"/>
    </row>
    <row r="407" spans="1:18" s="427" customFormat="1" ht="11.25" customHeight="1">
      <c r="A407" s="148"/>
      <c r="B407" s="456"/>
      <c r="C407" s="498" t="s">
        <v>3680</v>
      </c>
      <c r="D407" s="1596"/>
      <c r="E407" s="1596"/>
      <c r="F407" s="1596"/>
      <c r="G407" s="3101"/>
      <c r="H407" s="3102"/>
      <c r="I407" s="3103"/>
      <c r="J407" s="1369" t="s">
        <v>3681</v>
      </c>
      <c r="L407" s="3104"/>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3105">
        <v>0</v>
      </c>
      <c r="M408" s="973">
        <f>IF('Part VI-Revenues &amp; Expenses'!$O$62=0,0,L408/'Part VI-Revenues &amp; Expenses'!$O$62)</f>
        <v>0</v>
      </c>
      <c r="N408" s="404" t="s">
        <v>2004</v>
      </c>
      <c r="O408" s="3065"/>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932" t="s">
        <v>4705</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2740</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0" t="s">
        <v>2923</v>
      </c>
      <c r="E416" s="3059"/>
      <c r="F416" s="3059"/>
      <c r="G416" s="3059"/>
      <c r="H416" s="3059"/>
      <c r="I416" s="3091"/>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1">
        <v>0</v>
      </c>
      <c r="P418" s="912"/>
      <c r="Q418" s="1090" t="str">
        <f>IF(OR($O418=$M418,$O418=0,$O418=""),"","*CHECK!*")</f>
        <v/>
      </c>
      <c r="R418" s="1192" t="s">
        <v>2725</v>
      </c>
    </row>
    <row r="419" spans="1:19" s="427" customFormat="1" ht="12" customHeight="1">
      <c r="A419" s="426"/>
      <c r="B419" s="2008" t="s">
        <v>4247</v>
      </c>
      <c r="C419" s="2008"/>
      <c r="D419" s="2008"/>
      <c r="E419" s="2008"/>
      <c r="F419" s="2008"/>
      <c r="G419" s="2008"/>
      <c r="H419" s="2008"/>
      <c r="I419" s="2008"/>
      <c r="J419" s="2008"/>
      <c r="K419" s="2008"/>
      <c r="L419" s="2008"/>
      <c r="M419" s="1893" t="s">
        <v>4249</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2848</v>
      </c>
      <c r="N421" s="428"/>
      <c r="O421" s="2067">
        <f>'Part VI-Revenues &amp; Expenses'!$O$62</f>
        <v>48</v>
      </c>
      <c r="P421" s="2068"/>
      <c r="Q421" s="179"/>
    </row>
    <row r="422" spans="1:19" s="427" customFormat="1" ht="12" customHeight="1">
      <c r="B422" s="2064"/>
      <c r="C422" s="2064"/>
      <c r="D422" s="2064"/>
      <c r="E422" s="2064"/>
      <c r="F422" s="2064"/>
      <c r="G422" s="2064"/>
      <c r="H422" s="2064"/>
      <c r="I422" s="2064"/>
      <c r="J422" s="2064"/>
      <c r="K422" s="2064"/>
      <c r="L422" s="2064"/>
      <c r="M422" s="550" t="s">
        <v>2849</v>
      </c>
      <c r="N422" s="428"/>
      <c r="O422" s="2060">
        <f>IF(O421=0,0,O420/O421)</f>
        <v>0</v>
      </c>
      <c r="P422" s="2061"/>
      <c r="Q422" s="179"/>
    </row>
    <row r="423" spans="1:19" s="44" customFormat="1" ht="66.75" customHeight="1">
      <c r="A423" s="552"/>
      <c r="B423" s="3106" t="s">
        <v>4254</v>
      </c>
      <c r="C423" s="3107"/>
      <c r="D423" s="3107"/>
      <c r="E423" s="3107"/>
      <c r="F423" s="3107"/>
      <c r="G423" s="3107"/>
      <c r="H423" s="3107"/>
      <c r="I423" s="3107"/>
      <c r="J423" s="3107"/>
      <c r="K423" s="3107"/>
      <c r="L423" s="3107"/>
      <c r="M423" s="3107"/>
      <c r="N423" s="3107"/>
      <c r="O423" s="3107"/>
      <c r="P423" s="3108"/>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3379</v>
      </c>
      <c r="C425" s="144"/>
      <c r="D425" s="924"/>
      <c r="H425" s="405"/>
      <c r="M425" s="428">
        <v>1</v>
      </c>
      <c r="N425" s="166" t="s">
        <v>2001</v>
      </c>
      <c r="O425" s="2961"/>
      <c r="P425" s="912"/>
      <c r="Q425" s="1090" t="str">
        <f>IF(OR($O425=$M425,$O425=0,$O425=""),"","*CHECK!*")</f>
        <v/>
      </c>
      <c r="R425" s="1192" t="s">
        <v>2725</v>
      </c>
    </row>
    <row r="426" spans="1:19" s="427" customFormat="1" ht="11.25" customHeight="1">
      <c r="A426" s="553"/>
      <c r="B426" s="1892" t="s">
        <v>4248</v>
      </c>
      <c r="C426" s="1892"/>
      <c r="D426" s="1892"/>
      <c r="E426" s="1892"/>
      <c r="F426" s="1892"/>
      <c r="G426" s="1892"/>
      <c r="H426" s="1892"/>
      <c r="I426" s="1892"/>
      <c r="J426" s="1892"/>
      <c r="K426" s="1892"/>
      <c r="L426" s="1892"/>
      <c r="M426" s="498" t="s">
        <v>2848</v>
      </c>
      <c r="N426" s="428"/>
      <c r="O426" s="2062">
        <f>'Part VI-Revenues &amp; Expenses'!$O$62</f>
        <v>48</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932" t="s">
        <v>4706</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09"/>
      <c r="P436" s="1251"/>
      <c r="Q436" s="112"/>
    </row>
    <row r="437" spans="1:18" s="105" customFormat="1" ht="10.5" customHeight="1">
      <c r="A437" s="159"/>
      <c r="B437" s="89" t="s">
        <v>3685</v>
      </c>
      <c r="D437" s="46"/>
      <c r="E437" s="46"/>
      <c r="F437" s="40"/>
      <c r="G437" s="37"/>
      <c r="I437" s="37"/>
      <c r="J437" s="37"/>
      <c r="K437" s="37"/>
      <c r="L437" s="391"/>
      <c r="M437" s="1584"/>
      <c r="N437" s="6"/>
      <c r="O437" s="3110"/>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67</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3714</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1"/>
      <c r="B447" s="3112"/>
      <c r="C447" s="3112"/>
      <c r="D447" s="3112"/>
      <c r="E447" s="3112"/>
      <c r="F447" s="3112"/>
      <c r="G447" s="3112"/>
      <c r="H447" s="3112"/>
      <c r="I447" s="3112"/>
      <c r="J447" s="3112"/>
      <c r="K447" s="3112"/>
      <c r="L447" s="3112"/>
      <c r="M447" s="3112"/>
      <c r="N447" s="3112"/>
      <c r="O447" s="3112"/>
      <c r="P447" s="3113"/>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3437</v>
      </c>
      <c r="K470" s="469"/>
      <c r="L470" s="469"/>
      <c r="M470" s="469"/>
      <c r="N470" s="470"/>
      <c r="O470" s="1322" t="s">
        <v>3794</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2298</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2805</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2807</v>
      </c>
      <c r="D476" s="469"/>
      <c r="E476" s="469"/>
      <c r="F476" s="469"/>
      <c r="G476" s="1326" t="s">
        <v>2539</v>
      </c>
      <c r="H476" s="1324"/>
      <c r="I476" s="1326"/>
      <c r="J476" s="469" t="s">
        <v>3792</v>
      </c>
      <c r="K476" s="469"/>
      <c r="L476" s="1326"/>
      <c r="M476" s="469"/>
      <c r="N476" s="470"/>
      <c r="O476" s="1318">
        <v>2</v>
      </c>
      <c r="P476" s="1318"/>
      <c r="Q476" s="1228"/>
    </row>
    <row r="477" spans="3:17" s="503" customFormat="1">
      <c r="C477" s="1325" t="s">
        <v>2808</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2809</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2810</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2811</v>
      </c>
      <c r="D480" s="469"/>
      <c r="E480" s="469"/>
      <c r="F480" s="469"/>
      <c r="G480" s="1326" t="s">
        <v>2087</v>
      </c>
      <c r="H480" s="1324"/>
      <c r="I480" s="1327"/>
      <c r="J480" s="1324" t="s">
        <v>3793</v>
      </c>
      <c r="K480" s="469"/>
      <c r="L480" s="1327"/>
      <c r="M480" s="469"/>
      <c r="N480" s="470"/>
      <c r="O480" s="1318">
        <v>1</v>
      </c>
      <c r="P480" s="1318"/>
      <c r="Q480" s="1228"/>
    </row>
    <row r="481" spans="1:17" s="503" customFormat="1">
      <c r="C481" s="1325" t="s">
        <v>2812</v>
      </c>
      <c r="D481" s="469"/>
      <c r="E481" s="469"/>
      <c r="F481" s="469"/>
      <c r="G481" s="1326" t="s">
        <v>3834</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2814</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2842</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2074</v>
      </c>
      <c r="H491" s="1324"/>
      <c r="I491" s="1327"/>
      <c r="J491" s="1328" t="s">
        <v>3803</v>
      </c>
      <c r="K491" s="469"/>
      <c r="L491" s="1327"/>
      <c r="M491" s="469"/>
      <c r="N491" s="470"/>
      <c r="O491" s="1318"/>
      <c r="P491" s="1318"/>
      <c r="Q491" s="1228"/>
    </row>
    <row r="492" spans="1:17" s="503" customFormat="1">
      <c r="A492" s="1157" t="s">
        <v>2843</v>
      </c>
      <c r="C492" s="469"/>
      <c r="D492" s="1325"/>
      <c r="E492" s="1325"/>
      <c r="F492" s="469"/>
      <c r="G492" s="1326" t="s">
        <v>607</v>
      </c>
      <c r="H492" s="1324"/>
      <c r="I492" s="1327"/>
      <c r="J492" s="1324" t="s">
        <v>4017</v>
      </c>
      <c r="K492" s="469"/>
      <c r="L492" s="1327"/>
      <c r="M492" s="469"/>
      <c r="N492" s="470"/>
      <c r="O492" s="1318"/>
      <c r="P492" s="1318"/>
      <c r="Q492" s="1228"/>
    </row>
    <row r="493" spans="1:17" s="503" customFormat="1">
      <c r="C493" s="1325"/>
      <c r="D493" s="469"/>
      <c r="E493" s="469"/>
      <c r="F493" s="469"/>
      <c r="G493" s="1326" t="s">
        <v>337</v>
      </c>
      <c r="H493" s="1324"/>
      <c r="I493" s="1327"/>
      <c r="J493" s="1324" t="s">
        <v>4012</v>
      </c>
      <c r="K493" s="469"/>
      <c r="L493" s="1327"/>
      <c r="M493" s="469"/>
      <c r="N493" s="470"/>
      <c r="O493" s="1318"/>
      <c r="P493" s="1318"/>
      <c r="Q493" s="1228"/>
    </row>
    <row r="494" spans="1:17" s="503" customFormat="1">
      <c r="C494" s="1325"/>
      <c r="D494" s="469"/>
      <c r="E494" s="469"/>
      <c r="F494" s="469"/>
      <c r="G494" s="1326" t="s">
        <v>882</v>
      </c>
      <c r="H494" s="1324"/>
      <c r="I494" s="1327"/>
      <c r="J494" s="1324" t="s">
        <v>3796</v>
      </c>
      <c r="K494" s="1324"/>
      <c r="L494" s="1327"/>
      <c r="M494" s="469"/>
      <c r="N494" s="470"/>
      <c r="O494" s="1318"/>
      <c r="P494" s="1318"/>
      <c r="Q494" s="1228"/>
    </row>
    <row r="495" spans="1:17" s="503" customFormat="1">
      <c r="C495" s="1325"/>
      <c r="D495" s="469"/>
      <c r="E495" s="469"/>
      <c r="F495" s="469"/>
      <c r="G495" s="1326" t="s">
        <v>1939</v>
      </c>
      <c r="H495" s="1327"/>
      <c r="I495" s="1324"/>
      <c r="J495" s="1324" t="s">
        <v>4005</v>
      </c>
      <c r="K495" s="469"/>
      <c r="L495" s="1327"/>
      <c r="M495" s="469"/>
      <c r="N495" s="470"/>
      <c r="O495" s="1318"/>
      <c r="P495" s="1318"/>
      <c r="Q495" s="1228"/>
    </row>
    <row r="496" spans="1:17" s="503" customFormat="1">
      <c r="C496" s="1325"/>
      <c r="D496" s="469"/>
      <c r="E496" s="469"/>
      <c r="F496" s="469"/>
      <c r="G496" s="1326" t="s">
        <v>1943</v>
      </c>
      <c r="H496" s="1327"/>
      <c r="I496" s="1324"/>
      <c r="J496" s="1324" t="s">
        <v>3797</v>
      </c>
      <c r="K496" s="1324"/>
      <c r="L496" s="1327"/>
      <c r="M496" s="469"/>
      <c r="N496" s="470"/>
      <c r="O496" s="1318"/>
      <c r="P496" s="1318"/>
      <c r="Q496" s="1228"/>
    </row>
    <row r="497" spans="3:17" s="503" customFormat="1">
      <c r="C497" s="469"/>
      <c r="D497" s="469"/>
      <c r="E497" s="469"/>
      <c r="F497" s="469"/>
      <c r="G497" s="1326" t="s">
        <v>459</v>
      </c>
      <c r="H497" s="1327"/>
      <c r="I497" s="1324"/>
      <c r="J497" s="1324" t="s">
        <v>4006</v>
      </c>
      <c r="K497" s="469"/>
      <c r="L497" s="1327"/>
      <c r="M497" s="469"/>
      <c r="N497" s="470"/>
      <c r="O497" s="1318"/>
      <c r="P497" s="1318"/>
      <c r="Q497" s="1228"/>
    </row>
    <row r="498" spans="3:17" s="503" customFormat="1">
      <c r="C498" s="469"/>
      <c r="D498" s="469"/>
      <c r="E498" s="469"/>
      <c r="F498" s="469"/>
      <c r="G498" s="1326" t="s">
        <v>3644</v>
      </c>
      <c r="H498" s="1327"/>
      <c r="I498" s="1324"/>
      <c r="J498" s="1324" t="s">
        <v>3798</v>
      </c>
      <c r="K498" s="469"/>
      <c r="L498" s="1324"/>
      <c r="M498" s="469"/>
      <c r="N498" s="470"/>
      <c r="O498" s="1318"/>
      <c r="P498" s="1318"/>
      <c r="Q498" s="1228"/>
    </row>
    <row r="499" spans="3:17" s="503" customFormat="1">
      <c r="C499" s="469"/>
      <c r="D499" s="469"/>
      <c r="E499" s="469"/>
      <c r="F499" s="469"/>
      <c r="G499" s="1326" t="s">
        <v>422</v>
      </c>
      <c r="H499" s="1327"/>
      <c r="I499" s="1324"/>
      <c r="J499" s="1324" t="s">
        <v>4008</v>
      </c>
      <c r="K499" s="469"/>
      <c r="L499" s="1327"/>
      <c r="M499" s="469"/>
      <c r="N499" s="470"/>
      <c r="O499" s="1318"/>
      <c r="P499" s="1318"/>
      <c r="Q499" s="1228"/>
    </row>
    <row r="500" spans="3:17" s="503" customFormat="1">
      <c r="C500" s="469"/>
      <c r="D500" s="469"/>
      <c r="E500" s="469"/>
      <c r="F500" s="469"/>
      <c r="G500" s="1326" t="s">
        <v>236</v>
      </c>
      <c r="H500" s="1327"/>
      <c r="I500" s="1324"/>
      <c r="J500" s="1324" t="s">
        <v>4013</v>
      </c>
      <c r="K500" s="469"/>
      <c r="L500" s="1327"/>
      <c r="M500" s="469"/>
      <c r="N500" s="470"/>
      <c r="O500" s="1318"/>
      <c r="P500" s="1318"/>
      <c r="Q500" s="1228"/>
    </row>
    <row r="501" spans="3:17" s="503" customFormat="1">
      <c r="C501" s="469"/>
      <c r="D501" s="469"/>
      <c r="E501" s="469"/>
      <c r="F501" s="469"/>
      <c r="G501" s="1326" t="s">
        <v>1233</v>
      </c>
      <c r="H501" s="1327"/>
      <c r="I501" s="1324"/>
      <c r="J501" s="1324" t="s">
        <v>4016</v>
      </c>
      <c r="K501" s="1324"/>
      <c r="L501" s="1324"/>
      <c r="M501" s="469"/>
      <c r="N501" s="470"/>
      <c r="O501" s="1318"/>
      <c r="P501" s="1318"/>
      <c r="Q501" s="1228"/>
    </row>
    <row r="502" spans="3:17" s="503" customFormat="1">
      <c r="C502" s="469"/>
      <c r="D502" s="1329"/>
      <c r="E502" s="469"/>
      <c r="F502" s="469"/>
      <c r="G502" s="1326" t="s">
        <v>1235</v>
      </c>
      <c r="H502" s="1327"/>
      <c r="I502" s="1324"/>
      <c r="J502" s="1324" t="s">
        <v>3799</v>
      </c>
      <c r="K502" s="469"/>
      <c r="L502" s="1327"/>
      <c r="M502" s="469"/>
      <c r="N502" s="470"/>
      <c r="O502" s="1318"/>
      <c r="P502" s="1318"/>
      <c r="Q502" s="1228"/>
    </row>
    <row r="503" spans="3:17" s="503" customFormat="1">
      <c r="C503" s="469"/>
      <c r="D503" s="1329"/>
      <c r="E503" s="469"/>
      <c r="F503" s="469"/>
      <c r="G503" s="1326" t="s">
        <v>1650</v>
      </c>
      <c r="H503" s="1327"/>
      <c r="I503" s="1324"/>
      <c r="J503" s="1324" t="s">
        <v>3800</v>
      </c>
      <c r="K503" s="469"/>
      <c r="L503" s="1327"/>
      <c r="M503" s="469"/>
      <c r="N503" s="470"/>
      <c r="O503" s="1318"/>
      <c r="P503" s="1318"/>
      <c r="Q503" s="1228"/>
    </row>
    <row r="504" spans="3:17" s="503" customFormat="1">
      <c r="C504" s="469"/>
      <c r="D504" s="1330"/>
      <c r="E504" s="469"/>
      <c r="F504" s="469"/>
      <c r="G504" s="1326" t="s">
        <v>994</v>
      </c>
      <c r="H504" s="1327"/>
      <c r="I504" s="1324"/>
      <c r="J504" s="1324" t="s">
        <v>4011</v>
      </c>
      <c r="K504" s="469"/>
      <c r="L504" s="1327"/>
      <c r="M504" s="469"/>
      <c r="N504" s="470"/>
      <c r="O504" s="1318"/>
      <c r="P504" s="1318"/>
      <c r="Q504" s="1228"/>
    </row>
    <row r="505" spans="3:17" s="503" customFormat="1">
      <c r="C505" s="469"/>
      <c r="D505" s="1330"/>
      <c r="E505" s="1330"/>
      <c r="F505" s="469"/>
      <c r="G505" s="1326" t="s">
        <v>579</v>
      </c>
      <c r="H505" s="1327"/>
      <c r="I505" s="1324"/>
      <c r="J505" s="1324" t="s">
        <v>4014</v>
      </c>
      <c r="K505" s="469"/>
      <c r="L505" s="1324"/>
      <c r="M505" s="469"/>
      <c r="N505" s="470"/>
      <c r="O505" s="1318"/>
      <c r="P505" s="1318"/>
      <c r="Q505" s="1228"/>
    </row>
    <row r="506" spans="3:17" s="503" customFormat="1">
      <c r="C506" s="469"/>
      <c r="D506" s="469"/>
      <c r="E506" s="469"/>
      <c r="F506" s="469"/>
      <c r="G506" s="1326" t="s">
        <v>1651</v>
      </c>
      <c r="H506" s="1327"/>
      <c r="I506" s="1324"/>
      <c r="J506" s="1324" t="s">
        <v>4015</v>
      </c>
      <c r="K506" s="469"/>
      <c r="L506" s="1327"/>
      <c r="M506" s="469"/>
      <c r="N506" s="470"/>
      <c r="O506" s="1318"/>
      <c r="P506" s="1318"/>
      <c r="Q506" s="1228"/>
    </row>
    <row r="507" spans="3:17" s="503" customFormat="1">
      <c r="C507" s="469"/>
      <c r="D507" s="469"/>
      <c r="E507" s="469"/>
      <c r="F507" s="469"/>
      <c r="G507" s="1326" t="s">
        <v>1692</v>
      </c>
      <c r="H507" s="1327"/>
      <c r="I507" s="1324"/>
      <c r="J507" s="1324" t="s">
        <v>3801</v>
      </c>
      <c r="K507" s="469"/>
      <c r="L507" s="1327"/>
      <c r="M507" s="469"/>
      <c r="N507" s="470"/>
      <c r="O507" s="1318"/>
      <c r="P507" s="1318"/>
      <c r="Q507" s="1228"/>
    </row>
    <row r="508" spans="3:17" s="503" customFormat="1">
      <c r="C508" s="1329"/>
      <c r="D508" s="469"/>
      <c r="E508" s="469"/>
      <c r="F508" s="469"/>
      <c r="G508" s="1326" t="s">
        <v>1753</v>
      </c>
      <c r="H508" s="1324"/>
      <c r="I508" s="1324"/>
      <c r="J508" s="1324" t="s">
        <v>3802</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4102</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4552</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yARo4vtyTO7ayO76tCN26knVlLW8n+E1P1B6jt3zUKoR5KJCu7b0ERI/OA9Vs/gMkrfNy3m3KUuaF+PBRJv9lw==" saltValue="FcvMuTuqzQ7udsWoa/S7nA=="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zoomScalePageLayoutView="120" workbookViewId="0">
      <selection sqref="A1:XFD1048576"/>
    </sheetView>
  </sheetViews>
  <sheetFormatPr defaultColWidth="8.85546875" defaultRowHeight="12.75"/>
  <cols>
    <col min="1" max="1" width="88.42578125" style="28" customWidth="1"/>
    <col min="2" max="16384" width="8.85546875" style="28"/>
  </cols>
  <sheetData>
    <row r="1" spans="1:6" ht="15.75">
      <c r="A1" s="918" t="s">
        <v>4256</v>
      </c>
    </row>
    <row r="2" spans="1:6" s="34" customFormat="1" ht="13.5" customHeight="1">
      <c r="A2" s="917" t="str">
        <f>'Part I-Project Information'!$F$34</f>
        <v>Abbington on Cheshire Bridge</v>
      </c>
    </row>
    <row r="3" spans="1:6" s="34" customFormat="1" ht="13.5" customHeight="1">
      <c r="A3" s="917" t="str">
        <f>CONCATENATE('Part I-Project Information'!$F$38,", ", 'Part I-Project Information'!$J$39," County")</f>
        <v>Atlanta, Fulton County</v>
      </c>
    </row>
    <row r="4" spans="1:6" ht="6.75" customHeight="1"/>
    <row r="5" spans="1:6" ht="113.25" customHeight="1">
      <c r="A5" s="2896" t="s">
        <v>4734</v>
      </c>
      <c r="B5" s="2208" t="s">
        <v>4257</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YauYjBsesm5CxfaBxe/iKXKOV+01CkWN7IPwDb4rOtyd5OCJpNMdCzwSps22ICKWznkWe6VNhy6KMh7onFYD8w==" saltValue="Hd9ZpjkKmFJrDgkyr8vPV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headerFooter>
    <oddHeader>&amp;L&amp;8Georgia Department of Community Affairs&amp;CD R A F T   2018 Funding Application&amp;R&amp;8Housing Finance and Development Division</oddHeader>
    <oddFooter>&amp;L&amp;G &amp;8&amp;F&amp;C&amp;8&amp;A&amp;R&amp;9&amp;P of &amp;N</oddFooter>
  </headerFooter>
  <legacyDrawingHF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zoomScalePageLayoutView="120" workbookViewId="0">
      <selection activeCell="A43" sqref="A1:XFD1048576"/>
    </sheetView>
  </sheetViews>
  <sheetFormatPr defaultColWidth="8.85546875" defaultRowHeight="12.75"/>
  <cols>
    <col min="1" max="1" width="24.85546875" style="1373" customWidth="1"/>
    <col min="2" max="11" width="10.42578125" style="1373" customWidth="1"/>
    <col min="12" max="12" width="9.7109375" style="1373" customWidth="1"/>
    <col min="13" max="21" width="10.42578125" style="1373" customWidth="1"/>
    <col min="22" max="16384" width="8.85546875" style="1373"/>
  </cols>
  <sheetData>
    <row r="1" spans="1:7" ht="3" customHeight="1"/>
    <row r="2" spans="1:7">
      <c r="A2" s="1372" t="s">
        <v>4258</v>
      </c>
    </row>
    <row r="3" spans="1:7" ht="3" customHeight="1"/>
    <row r="4" spans="1:7">
      <c r="A4" s="1373" t="s">
        <v>4259</v>
      </c>
      <c r="B4" s="1374">
        <f>+'Part IV-A-Uses of Funds'!$G$132</f>
        <v>11919387</v>
      </c>
    </row>
    <row r="5" spans="1:7">
      <c r="A5" s="1373" t="s">
        <v>4290</v>
      </c>
      <c r="B5" s="1374">
        <f>+B18+B26+B38</f>
        <v>1213176.734572097</v>
      </c>
    </row>
    <row r="6" spans="1:7">
      <c r="A6" s="1373" t="s">
        <v>4260</v>
      </c>
      <c r="B6" s="1375">
        <f>+B5-B4</f>
        <v>-10706210.265427902</v>
      </c>
    </row>
    <row r="7" spans="1:7">
      <c r="A7" s="1373" t="s">
        <v>4261</v>
      </c>
      <c r="B7" s="1376">
        <f>+B6/B4</f>
        <v>-0.89821819405879699</v>
      </c>
    </row>
    <row r="8" spans="1:7" ht="9" customHeight="1"/>
    <row r="9" spans="1:7">
      <c r="A9" s="1373" t="s">
        <v>4262</v>
      </c>
      <c r="B9" s="1374">
        <f>+B18+B26+B33</f>
        <v>1213176.734572097</v>
      </c>
    </row>
    <row r="10" spans="1:7">
      <c r="A10" s="1373" t="s">
        <v>4260</v>
      </c>
      <c r="B10" s="1375">
        <f>+B9-B4</f>
        <v>-10706210.265427902</v>
      </c>
    </row>
    <row r="11" spans="1:7">
      <c r="A11" s="1373" t="s">
        <v>4261</v>
      </c>
      <c r="B11" s="1376">
        <f>+B10/B4</f>
        <v>-0.89821819405879699</v>
      </c>
    </row>
    <row r="12" spans="1:7" ht="24" customHeight="1"/>
    <row r="13" spans="1:7">
      <c r="A13" s="1372" t="s">
        <v>4263</v>
      </c>
      <c r="D13" s="1445" t="s">
        <v>4530</v>
      </c>
      <c r="E13" s="1446"/>
    </row>
    <row r="14" spans="1:7">
      <c r="A14" s="1373" t="s">
        <v>4264</v>
      </c>
      <c r="B14" s="1377">
        <f>+SUM('Part III-Sources of Funds'!L49:M50)</f>
        <v>9853200</v>
      </c>
      <c r="D14" s="1446"/>
      <c r="E14" s="1446"/>
    </row>
    <row r="15" spans="1:7">
      <c r="A15" s="1373" t="s">
        <v>4265</v>
      </c>
      <c r="B15" s="1378">
        <f>+'Part IV-A-Uses of Funds'!J167</f>
        <v>991938.7</v>
      </c>
      <c r="D15" s="1446" t="s">
        <v>2061</v>
      </c>
      <c r="G15" s="1447">
        <f>'Part IV-A-Uses of Funds'!J155</f>
        <v>10130302.838850824</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4817972.0301574524</v>
      </c>
    </row>
    <row r="20" spans="1:7">
      <c r="A20" s="1373" t="s">
        <v>4268</v>
      </c>
      <c r="B20" s="1377">
        <f>+B18-B14</f>
        <v>-9853200</v>
      </c>
      <c r="D20" s="1446" t="s">
        <v>4535</v>
      </c>
      <c r="G20" s="1449">
        <f>+B14-G19</f>
        <v>5035227.9698425476</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2000000</v>
      </c>
    </row>
    <row r="25" spans="1:7">
      <c r="A25" s="1373" t="s">
        <v>4272</v>
      </c>
      <c r="B25" s="1381">
        <f>IF('Part III-Sources of Funds'!B11="Yes","N/A",MAX(B46:P46))</f>
        <v>-5548.2806918762217</v>
      </c>
    </row>
    <row r="26" spans="1:7">
      <c r="A26" s="1373" t="s">
        <v>4273</v>
      </c>
      <c r="B26" s="1371">
        <f>IFERROR(PV('Part III-Sources of Funds'!K37,'Part III-Sources of Funds'!L37,B25+B45),B24)</f>
        <v>1213176.734572097</v>
      </c>
    </row>
    <row r="27" spans="1:7" ht="9" customHeight="1">
      <c r="B27" s="1371"/>
    </row>
    <row r="28" spans="1:7">
      <c r="A28" s="1373" t="s">
        <v>4274</v>
      </c>
      <c r="B28" s="1382">
        <f>+B26-B24</f>
        <v>-786823.26542790304</v>
      </c>
      <c r="C28" s="1383"/>
    </row>
    <row r="29" spans="1:7">
      <c r="A29" s="1373" t="s">
        <v>4269</v>
      </c>
      <c r="B29" s="1384">
        <f>+B28/B24</f>
        <v>-0.39341163271395152</v>
      </c>
    </row>
    <row r="30" spans="1:7" ht="24" customHeight="1"/>
    <row r="31" spans="1:7">
      <c r="A31" s="1372" t="s">
        <v>4128</v>
      </c>
    </row>
    <row r="32" spans="1:7">
      <c r="A32" s="1373" t="s">
        <v>4275</v>
      </c>
      <c r="B32" s="1385">
        <f>+'Part III-Sources of Funds'!I42</f>
        <v>67172</v>
      </c>
    </row>
    <row r="33" spans="1:11">
      <c r="A33" s="1373" t="s">
        <v>4276</v>
      </c>
      <c r="B33" s="1371"/>
    </row>
    <row r="34" spans="1:11" ht="9" customHeight="1">
      <c r="B34" s="1371"/>
    </row>
    <row r="35" spans="1:11">
      <c r="A35" s="1373" t="s">
        <v>4277</v>
      </c>
      <c r="B35" s="1385">
        <f>+B33-B32</f>
        <v>-67172</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141458.80319999997</v>
      </c>
      <c r="C44" s="1374">
        <f>+'Part VII-Pro Forma'!C22</f>
        <v>141784.42926399995</v>
      </c>
      <c r="D44" s="1374">
        <f>+'Part VII-Pro Forma'!D22</f>
        <v>142042.74054927999</v>
      </c>
      <c r="E44" s="1374">
        <f>+'Part VII-Pro Forma'!E22</f>
        <v>142228.27814126556</v>
      </c>
      <c r="F44" s="1374">
        <f>+'Part VII-Pro Forma'!F22</f>
        <v>142337.4463685209</v>
      </c>
      <c r="G44" s="1374">
        <f>+'Part VII-Pro Forma'!G22</f>
        <v>142367.50804025427</v>
      </c>
      <c r="H44" s="1374">
        <f>+'Part VII-Pro Forma'!H22</f>
        <v>142312.57952775317</v>
      </c>
      <c r="I44" s="1374">
        <f>+'Part VII-Pro Forma'!I22</f>
        <v>142170.62568480271</v>
      </c>
      <c r="J44" s="1374">
        <f>+'Part VII-Pro Forma'!J22</f>
        <v>141935.45460198828</v>
      </c>
      <c r="K44" s="1374">
        <f>+'Part VII-Pro Forma'!K22</f>
        <v>141603.71218962217</v>
      </c>
    </row>
    <row r="45" spans="1:11">
      <c r="A45" s="1373" t="s">
        <v>4281</v>
      </c>
      <c r="B45" s="1374">
        <f>SUM('Part VII-Pro Forma'!B23:B26)</f>
        <v>-112334.05530812376</v>
      </c>
      <c r="C45" s="1374">
        <f>SUM('Part VII-Pro Forma'!C23:C26)</f>
        <v>-112334.05530812376</v>
      </c>
      <c r="D45" s="1374">
        <f>SUM('Part VII-Pro Forma'!D23:D26)</f>
        <v>-112334.05530812376</v>
      </c>
      <c r="E45" s="1374">
        <f>SUM('Part VII-Pro Forma'!E23:E26)</f>
        <v>-112334.05530812376</v>
      </c>
      <c r="F45" s="1374">
        <f>SUM('Part VII-Pro Forma'!F23:F26)</f>
        <v>-112334.05530812376</v>
      </c>
      <c r="G45" s="1374">
        <f>SUM('Part VII-Pro Forma'!G23:G26)</f>
        <v>-112334.05530812376</v>
      </c>
      <c r="H45" s="1374">
        <f>SUM('Part VII-Pro Forma'!H23:H26)</f>
        <v>-112334.05530812376</v>
      </c>
      <c r="I45" s="1374">
        <f>SUM('Part VII-Pro Forma'!I23:I26)</f>
        <v>-112334.05530812376</v>
      </c>
      <c r="J45" s="1374">
        <f>SUM('Part VII-Pro Forma'!J23:J26)</f>
        <v>-112334.05530812376</v>
      </c>
      <c r="K45" s="1374">
        <f>SUM('Part VII-Pro Forma'!K23:K26)</f>
        <v>-112334.05530812376</v>
      </c>
    </row>
    <row r="46" spans="1:11">
      <c r="A46" s="1373" t="s">
        <v>4282</v>
      </c>
      <c r="B46" s="1375">
        <f t="shared" ref="B46:K46" si="0">-B44/B48-B45</f>
        <v>-5548.2806918762217</v>
      </c>
      <c r="C46" s="1375">
        <f t="shared" si="0"/>
        <v>-5819.6357452095399</v>
      </c>
      <c r="D46" s="1375">
        <f t="shared" si="0"/>
        <v>-6034.8951496095688</v>
      </c>
      <c r="E46" s="1375">
        <f t="shared" si="0"/>
        <v>-6189.5098095975409</v>
      </c>
      <c r="F46" s="1375">
        <f t="shared" si="0"/>
        <v>-6280.4833323103376</v>
      </c>
      <c r="G46" s="1375">
        <f t="shared" si="0"/>
        <v>-6305.5347254214721</v>
      </c>
      <c r="H46" s="1375">
        <f t="shared" si="0"/>
        <v>-6259.7609650038939</v>
      </c>
      <c r="I46" s="1375">
        <f t="shared" si="0"/>
        <v>-6141.4660958785098</v>
      </c>
      <c r="J46" s="1375">
        <f t="shared" si="0"/>
        <v>-5945.4901935331436</v>
      </c>
      <c r="K46" s="1375">
        <f t="shared" si="0"/>
        <v>-5669.0381832280545</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141458.80319999997</v>
      </c>
      <c r="C51" s="1375">
        <f t="shared" ref="C51:K51" si="2">+C44</f>
        <v>141784.42926399995</v>
      </c>
      <c r="D51" s="1375">
        <f t="shared" si="2"/>
        <v>142042.74054927999</v>
      </c>
      <c r="E51" s="1375">
        <f t="shared" si="2"/>
        <v>142228.27814126556</v>
      </c>
      <c r="F51" s="1375">
        <f t="shared" si="2"/>
        <v>142337.4463685209</v>
      </c>
      <c r="G51" s="1375">
        <f t="shared" si="2"/>
        <v>142367.50804025427</v>
      </c>
      <c r="H51" s="1375">
        <f t="shared" si="2"/>
        <v>142312.57952775317</v>
      </c>
      <c r="I51" s="1375">
        <f t="shared" si="2"/>
        <v>142170.62568480271</v>
      </c>
      <c r="J51" s="1375">
        <f t="shared" si="2"/>
        <v>141935.45460198828</v>
      </c>
      <c r="K51" s="1375">
        <f t="shared" si="2"/>
        <v>141603.71218962217</v>
      </c>
    </row>
    <row r="52" spans="1:17">
      <c r="A52" s="1373" t="s">
        <v>4284</v>
      </c>
      <c r="B52" s="1375">
        <f>IF($B$25="N/A",B45,B45+$B$25)</f>
        <v>-117882.33599999998</v>
      </c>
      <c r="C52" s="1375">
        <f t="shared" ref="C52:K52" si="3">IF($B$25="N/A",C45,C45+$B$25)</f>
        <v>-117882.33599999998</v>
      </c>
      <c r="D52" s="1375">
        <f t="shared" si="3"/>
        <v>-117882.33599999998</v>
      </c>
      <c r="E52" s="1375">
        <f t="shared" si="3"/>
        <v>-117882.33599999998</v>
      </c>
      <c r="F52" s="1375">
        <f t="shared" si="3"/>
        <v>-117882.33599999998</v>
      </c>
      <c r="G52" s="1375">
        <f t="shared" si="3"/>
        <v>-117882.33599999998</v>
      </c>
      <c r="H52" s="1375">
        <f t="shared" si="3"/>
        <v>-117882.33599999998</v>
      </c>
      <c r="I52" s="1375">
        <f t="shared" si="3"/>
        <v>-117882.33599999998</v>
      </c>
      <c r="J52" s="1375">
        <f t="shared" si="3"/>
        <v>-117882.33599999998</v>
      </c>
      <c r="K52" s="1375">
        <f t="shared" si="3"/>
        <v>-117882.33599999998</v>
      </c>
    </row>
    <row r="53" spans="1:17">
      <c r="A53" s="1373" t="s">
        <v>4285</v>
      </c>
      <c r="B53" s="1374">
        <f>+'Part VII-Pro Forma'!B28</f>
        <v>-7100</v>
      </c>
      <c r="C53" s="1374">
        <f>+'Part VII-Pro Forma'!C28</f>
        <v>-7238</v>
      </c>
      <c r="D53" s="1374">
        <f>+'Part VII-Pro Forma'!D28</f>
        <v>-7380.1399999999994</v>
      </c>
      <c r="E53" s="1374">
        <f>+'Part VII-Pro Forma'!E28</f>
        <v>-7526.5442000000003</v>
      </c>
      <c r="F53" s="1374">
        <f>+'Part VII-Pro Forma'!F28</f>
        <v>-7677.340526</v>
      </c>
      <c r="G53" s="1374">
        <f>+'Part VII-Pro Forma'!G28</f>
        <v>-7832.6607417799996</v>
      </c>
      <c r="H53" s="1374">
        <f>+'Part VII-Pro Forma'!H28</f>
        <v>-7992.6405640333996</v>
      </c>
      <c r="I53" s="1374">
        <f>+'Part VII-Pro Forma'!I28</f>
        <v>-8157.4197809544021</v>
      </c>
      <c r="J53" s="1374">
        <f>+'Part VII-Pro Forma'!J28</f>
        <v>-8327.1423743830346</v>
      </c>
      <c r="K53" s="1374">
        <f>+'Part VII-Pro Forma'!K28</f>
        <v>-8501.9566456145258</v>
      </c>
    </row>
    <row r="54" spans="1:17">
      <c r="A54" s="1373" t="s">
        <v>4286</v>
      </c>
      <c r="B54" s="1375">
        <f>+SUM(B51:B53)</f>
        <v>16476.467199999985</v>
      </c>
      <c r="C54" s="1375">
        <f t="shared" ref="C54:K54" si="4">+SUM(C51:C53)</f>
        <v>16664.093263999966</v>
      </c>
      <c r="D54" s="1375">
        <f t="shared" si="4"/>
        <v>16780.264549280007</v>
      </c>
      <c r="E54" s="1375">
        <f t="shared" si="4"/>
        <v>16819.397941265579</v>
      </c>
      <c r="F54" s="1375">
        <f t="shared" si="4"/>
        <v>16777.769842520924</v>
      </c>
      <c r="G54" s="1375">
        <f t="shared" si="4"/>
        <v>16652.511298474285</v>
      </c>
      <c r="H54" s="1375">
        <f t="shared" si="4"/>
        <v>16437.602963719793</v>
      </c>
      <c r="I54" s="1375">
        <f t="shared" si="4"/>
        <v>16130.869903848328</v>
      </c>
      <c r="J54" s="1375">
        <f t="shared" si="4"/>
        <v>15725.976227605268</v>
      </c>
      <c r="K54" s="1375">
        <f t="shared" si="4"/>
        <v>15219.419544007658</v>
      </c>
    </row>
    <row r="55" spans="1:17">
      <c r="A55" s="1373" t="s">
        <v>4128</v>
      </c>
      <c r="B55" s="1375">
        <f>-B54</f>
        <v>-16476.467199999985</v>
      </c>
      <c r="C55" s="1375">
        <f t="shared" ref="C55:K55" si="5">-C54</f>
        <v>-16664.093263999966</v>
      </c>
      <c r="D55" s="1375">
        <f t="shared" si="5"/>
        <v>-16780.264549280007</v>
      </c>
      <c r="E55" s="1375">
        <f t="shared" si="5"/>
        <v>-16819.397941265579</v>
      </c>
      <c r="F55" s="1375">
        <f t="shared" si="5"/>
        <v>-16777.769842520924</v>
      </c>
      <c r="G55" s="1375">
        <f t="shared" si="5"/>
        <v>-16652.511298474285</v>
      </c>
      <c r="H55" s="1375">
        <f t="shared" si="5"/>
        <v>-16437.602963719793</v>
      </c>
      <c r="I55" s="1375">
        <f t="shared" si="5"/>
        <v>-16130.869903848328</v>
      </c>
      <c r="J55" s="1375">
        <f t="shared" si="5"/>
        <v>-15725.976227605268</v>
      </c>
      <c r="K55" s="1375">
        <f t="shared" si="5"/>
        <v>-15219.419544007658</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1169891.9713930939</v>
      </c>
      <c r="C58" s="1374">
        <f>IF($B$26="","",-FV('Part III-Sources of Funds'!$K$37/12,12,C52/12,B58))</f>
        <v>1123823.0537016112</v>
      </c>
      <c r="D58" s="1374">
        <f>IF($B$26="","",-FV('Part III-Sources of Funds'!$K$37/12,12,D52/12,C58))</f>
        <v>1074790.8996272618</v>
      </c>
      <c r="E58" s="1374">
        <f>IF($B$26="","",-FV('Part III-Sources of Funds'!$K$37/12,12,E52/12,D58))</f>
        <v>1022604.908428792</v>
      </c>
      <c r="F58" s="1374">
        <f>IF($B$26="","",-FV('Part III-Sources of Funds'!$K$37/12,12,F52/12,E58))</f>
        <v>967062.21957940573</v>
      </c>
      <c r="G58" s="1374">
        <f>IF($B$26="","",-FV('Part III-Sources of Funds'!$K$37/12,12,G52/12,F58))</f>
        <v>907946.92419511103</v>
      </c>
      <c r="H58" s="1374">
        <f>IF($B$26="","",-FV('Part III-Sources of Funds'!$K$37/12,12,H52/12,G58))</f>
        <v>845029.22574070818</v>
      </c>
      <c r="I58" s="1374">
        <f>IF($B$26="","",-FV('Part III-Sources of Funds'!$K$37/12,12,I52/12,H58))</f>
        <v>778064.54675086308</v>
      </c>
      <c r="J58" s="1374">
        <f>IF($B$26="","",-FV('Part III-Sources of Funds'!$K$37/12,12,J52/12,I58))</f>
        <v>706792.57809385948</v>
      </c>
      <c r="K58" s="1374">
        <f>IF($B$26="","",-FV('Part III-Sources of Funds'!$K$37/12,12,K52/12,J58))</f>
        <v>630936.26708227058</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141169.87658387655</v>
      </c>
      <c r="C64" s="1374">
        <f>+'Part VII-Pro Forma'!C52</f>
        <v>140630.25237052984</v>
      </c>
      <c r="D64" s="1374">
        <f>+'Part VII-Pro Forma'!D52</f>
        <v>139977.96462056565</v>
      </c>
      <c r="E64" s="1374">
        <f>+'Part VII-Pro Forma'!E52</f>
        <v>139208.95273168074</v>
      </c>
      <c r="F64" s="1374">
        <f>+'Part VII-Pro Forma'!F52</f>
        <v>138316.96406957941</v>
      </c>
      <c r="G64" s="1374">
        <f>+'Part VII-Pro Forma'!G52</f>
        <v>137297.5474027337</v>
      </c>
      <c r="H64" s="1374">
        <f>+'Part VII-Pro Forma'!H52</f>
        <v>136144.04612410426</v>
      </c>
      <c r="I64" s="1374">
        <f>+'Part VII-Pro Forma'!I52</f>
        <v>134850.59125310171</v>
      </c>
      <c r="J64" s="1374">
        <f>+'Part VII-Pro Forma'!J52</f>
        <v>133411.09421087432</v>
      </c>
      <c r="K64" s="1374">
        <f>+'Part VII-Pro Forma'!K52</f>
        <v>131818.23936178384</v>
      </c>
    </row>
    <row r="65" spans="1:11">
      <c r="A65" s="1373" t="s">
        <v>4281</v>
      </c>
      <c r="B65" s="1374">
        <f>SUM('Part VII-Pro Forma'!B53:B56)</f>
        <v>-112334.05530812376</v>
      </c>
      <c r="C65" s="1374">
        <f>SUM('Part VII-Pro Forma'!C53:C56)</f>
        <v>-112334.05530812376</v>
      </c>
      <c r="D65" s="1374">
        <f>SUM('Part VII-Pro Forma'!D53:D56)</f>
        <v>-112334.05530812376</v>
      </c>
      <c r="E65" s="1374">
        <f>SUM('Part VII-Pro Forma'!E53:E56)</f>
        <v>-112334.05530812376</v>
      </c>
      <c r="F65" s="1374">
        <f>SUM('Part VII-Pro Forma'!F53:F56)</f>
        <v>-112334.05530812376</v>
      </c>
      <c r="G65" s="1374">
        <f>SUM('Part VII-Pro Forma'!G53:G56)</f>
        <v>-112334.05530812376</v>
      </c>
      <c r="H65" s="1374">
        <f>SUM('Part VII-Pro Forma'!H53:H56)</f>
        <v>-112334.05530812376</v>
      </c>
      <c r="I65" s="1374">
        <f>SUM('Part VII-Pro Forma'!I53:I56)</f>
        <v>-112334.05530812376</v>
      </c>
      <c r="J65" s="1374">
        <f>SUM('Part VII-Pro Forma'!J53:J56)</f>
        <v>-112334.05530812376</v>
      </c>
      <c r="K65" s="1374">
        <f>SUM('Part VII-Pro Forma'!K53:K56)</f>
        <v>-112334.05530812376</v>
      </c>
    </row>
    <row r="66" spans="1:11">
      <c r="A66" s="1373" t="s">
        <v>4282</v>
      </c>
      <c r="B66" s="1375">
        <f t="shared" ref="B66:K66" si="7">-B64/B68-B65</f>
        <v>-5307.5085117733688</v>
      </c>
      <c r="C66" s="1375">
        <f t="shared" si="7"/>
        <v>-4857.8216673177812</v>
      </c>
      <c r="D66" s="1375">
        <f t="shared" si="7"/>
        <v>-4314.2485423476173</v>
      </c>
      <c r="E66" s="1375">
        <f t="shared" si="7"/>
        <v>-3673.4053016101971</v>
      </c>
      <c r="F66" s="1375">
        <f t="shared" si="7"/>
        <v>-2930.081416525747</v>
      </c>
      <c r="G66" s="1375">
        <f t="shared" si="7"/>
        <v>-2080.5675274876703</v>
      </c>
      <c r="H66" s="1375">
        <f t="shared" si="7"/>
        <v>-1119.3164619631279</v>
      </c>
      <c r="I66" s="1375">
        <f t="shared" si="7"/>
        <v>-41.437402794341324</v>
      </c>
      <c r="J66" s="1375">
        <f t="shared" si="7"/>
        <v>1158.1434657284844</v>
      </c>
      <c r="K66" s="1375">
        <f t="shared" si="7"/>
        <v>2485.5225066372222</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141169.87658387655</v>
      </c>
      <c r="C71" s="1375">
        <f t="shared" si="9"/>
        <v>140630.25237052984</v>
      </c>
      <c r="D71" s="1375">
        <f t="shared" si="9"/>
        <v>139977.96462056565</v>
      </c>
      <c r="E71" s="1375">
        <f t="shared" si="9"/>
        <v>139208.95273168074</v>
      </c>
      <c r="F71" s="1375">
        <f t="shared" si="9"/>
        <v>138316.96406957941</v>
      </c>
      <c r="G71" s="1375">
        <f t="shared" si="9"/>
        <v>137297.5474027337</v>
      </c>
      <c r="H71" s="1375">
        <f t="shared" ref="H71:K71" si="10">+H64</f>
        <v>136144.04612410426</v>
      </c>
      <c r="I71" s="1375">
        <f t="shared" si="10"/>
        <v>134850.59125310171</v>
      </c>
      <c r="J71" s="1375">
        <f t="shared" si="10"/>
        <v>133411.09421087432</v>
      </c>
      <c r="K71" s="1375">
        <f t="shared" si="10"/>
        <v>131818.23936178384</v>
      </c>
    </row>
    <row r="72" spans="1:11">
      <c r="A72" s="1373" t="s">
        <v>4284</v>
      </c>
      <c r="B72" s="1375">
        <f t="shared" ref="B72:G72" si="11">IF($B$25="N/A",B65,B65+$B$25)</f>
        <v>-117882.33599999998</v>
      </c>
      <c r="C72" s="1375">
        <f t="shared" si="11"/>
        <v>-117882.33599999998</v>
      </c>
      <c r="D72" s="1375">
        <f t="shared" si="11"/>
        <v>-117882.33599999998</v>
      </c>
      <c r="E72" s="1375">
        <f t="shared" si="11"/>
        <v>-117882.33599999998</v>
      </c>
      <c r="F72" s="1375">
        <f t="shared" si="11"/>
        <v>-117882.33599999998</v>
      </c>
      <c r="G72" s="1375">
        <f t="shared" si="11"/>
        <v>-117882.33599999998</v>
      </c>
      <c r="H72" s="1375">
        <f t="shared" ref="H72:K72" si="12">IF($B$25="N/A",H65,H65+$B$25)</f>
        <v>-117882.33599999998</v>
      </c>
      <c r="I72" s="1375">
        <f t="shared" si="12"/>
        <v>-117882.33599999998</v>
      </c>
      <c r="J72" s="1375">
        <f t="shared" si="12"/>
        <v>-117882.33599999998</v>
      </c>
      <c r="K72" s="1375">
        <f t="shared" si="12"/>
        <v>-117882.33599999998</v>
      </c>
    </row>
    <row r="73" spans="1:11">
      <c r="A73" s="1373" t="s">
        <v>4285</v>
      </c>
      <c r="B73" s="1374">
        <f>+'Part VII-Pro Forma'!B58</f>
        <v>-8682.0153449829595</v>
      </c>
      <c r="C73" s="1374">
        <f>+'Part VII-Pro Forma'!C58</f>
        <v>-8867.4758053324495</v>
      </c>
      <c r="D73" s="1374">
        <f>+'Part VII-Pro Forma'!D58</f>
        <v>-9058.5000794924217</v>
      </c>
      <c r="E73" s="1374">
        <f>+'Part VII-Pro Forma'!E58</f>
        <v>-9255.2550818771942</v>
      </c>
      <c r="F73" s="1374">
        <f>+'Part VII-Pro Forma'!F58</f>
        <v>-9457.9127343335094</v>
      </c>
      <c r="G73" s="1374">
        <f>+'Part VII-Pro Forma'!G58</f>
        <v>-9457.9127343335094</v>
      </c>
      <c r="H73" s="1374">
        <f>+'Part VII-Pro Forma'!H58</f>
        <v>-9457.9127343335094</v>
      </c>
      <c r="I73" s="1374">
        <f>+'Part VII-Pro Forma'!I58</f>
        <v>-9457.9127343335094</v>
      </c>
      <c r="J73" s="1374">
        <f>+'Part VII-Pro Forma'!J58</f>
        <v>-9457.9127343335094</v>
      </c>
      <c r="K73" s="1374">
        <f>+'Part VII-Pro Forma'!K58</f>
        <v>-9457.9127343335094</v>
      </c>
    </row>
    <row r="74" spans="1:11">
      <c r="A74" s="1373" t="s">
        <v>4286</v>
      </c>
      <c r="B74" s="1375">
        <f t="shared" ref="B74:G74" si="13">+SUM(B71:B73)</f>
        <v>14605.525238893613</v>
      </c>
      <c r="C74" s="1375">
        <f t="shared" si="13"/>
        <v>13880.440565197407</v>
      </c>
      <c r="D74" s="1375">
        <f t="shared" si="13"/>
        <v>13037.128541073243</v>
      </c>
      <c r="E74" s="1375">
        <f t="shared" si="13"/>
        <v>12071.361649803561</v>
      </c>
      <c r="F74" s="1375">
        <f t="shared" si="13"/>
        <v>10976.715335245917</v>
      </c>
      <c r="G74" s="1375">
        <f t="shared" si="13"/>
        <v>9957.2986684002135</v>
      </c>
      <c r="H74" s="1375">
        <f t="shared" ref="H74:K74" si="14">+SUM(H71:H73)</f>
        <v>8803.7973897707743</v>
      </c>
      <c r="I74" s="1375">
        <f t="shared" si="14"/>
        <v>7510.3425187682187</v>
      </c>
      <c r="J74" s="1375">
        <f t="shared" si="14"/>
        <v>6070.8454765408278</v>
      </c>
      <c r="K74" s="1375">
        <f t="shared" si="14"/>
        <v>4477.9906274503483</v>
      </c>
    </row>
    <row r="75" spans="1:11">
      <c r="A75" s="1373" t="s">
        <v>4128</v>
      </c>
      <c r="B75" s="1375">
        <f t="shared" ref="B75:G75" si="15">-B74</f>
        <v>-14605.525238893613</v>
      </c>
      <c r="C75" s="1375">
        <f t="shared" si="15"/>
        <v>-13880.440565197407</v>
      </c>
      <c r="D75" s="1375">
        <f t="shared" si="15"/>
        <v>-13037.128541073243</v>
      </c>
      <c r="E75" s="1375">
        <f t="shared" si="15"/>
        <v>-12071.361649803561</v>
      </c>
      <c r="F75" s="1375">
        <f t="shared" si="15"/>
        <v>-10976.715335245917</v>
      </c>
      <c r="G75" s="1375">
        <f t="shared" si="15"/>
        <v>-9957.2986684002135</v>
      </c>
      <c r="H75" s="1375">
        <f t="shared" ref="H75:K75" si="16">-H74</f>
        <v>-8803.7973897707743</v>
      </c>
      <c r="I75" s="1375">
        <f t="shared" si="16"/>
        <v>-7510.3425187682187</v>
      </c>
      <c r="J75" s="1375">
        <f t="shared" si="16"/>
        <v>-6070.8454765408278</v>
      </c>
      <c r="K75" s="1375">
        <f t="shared" si="16"/>
        <v>-4477.9906274503483</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550200.74049707269</v>
      </c>
      <c r="C78" s="1374">
        <f>IF($B$26="","",-FV('Part III-Sources of Funds'!$K$37/12,12,C72/12,B78))</f>
        <v>464272.15833871579</v>
      </c>
      <c r="D78" s="1374">
        <f>IF($B$26="","",-FV('Part III-Sources of Funds'!$K$37/12,12,D72/12,C78))</f>
        <v>372816.49384938256</v>
      </c>
      <c r="E78" s="1374">
        <f>IF($B$26="","",-FV('Part III-Sources of Funds'!$K$37/12,12,E72/12,D78))</f>
        <v>275478.23506406596</v>
      </c>
      <c r="F78" s="1374">
        <f>IF($B$26="","",-FV('Part III-Sources of Funds'!$K$37/12,12,F72/12,E78))</f>
        <v>171879.00284305541</v>
      </c>
      <c r="G78" s="1374">
        <f>IF($B$26="","",-FV('Part III-Sources of Funds'!$K$37/12,12,G72/12,F78))</f>
        <v>61616.08001376492</v>
      </c>
      <c r="H78" s="1374">
        <f>IF($B$26="","",-FV('Part III-Sources of Funds'!$K$37/12,12,H72/12,G78))</f>
        <v>-55739.154095705366</v>
      </c>
      <c r="I78" s="1374">
        <f>IF($B$26="","",-FV('Part III-Sources of Funds'!$K$37/12,12,I72/12,H78))</f>
        <v>-180642.88981664969</v>
      </c>
      <c r="J78" s="1374">
        <f>IF($B$26="","",-FV('Part III-Sources of Funds'!$K$37/12,12,J72/12,I78))</f>
        <v>-313580.66047027701</v>
      </c>
      <c r="K78" s="1374">
        <f>IF($B$26="","",-FV('Part III-Sources of Funds'!$K$37/12,12,K72/12,J78))</f>
        <v>-455069.22976206837</v>
      </c>
    </row>
    <row r="79" spans="1:11">
      <c r="A79" s="1373" t="s">
        <v>4129</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headerFooter>
    <oddHeader>&amp;C&amp;"Arial,Bold"&amp;12Debt and Equity Sensitivity Analysis</oddHeader>
    <oddFooter>&amp;C&amp;9page &amp;P of &amp;N</oddFooter>
  </headerFooter>
  <rowBreaks count="1" manualBreakCount="1">
    <brk id="40" max="16383" man="1"/>
  </rowBreak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zoomScalePageLayoutView="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Abbington on Cheshire Bridge</v>
      </c>
      <c r="B2" s="2214"/>
      <c r="C2" s="2214"/>
      <c r="D2" s="2214"/>
      <c r="E2" s="2214"/>
      <c r="F2" s="2214"/>
      <c r="G2" s="2214"/>
      <c r="H2" s="2214"/>
      <c r="I2" s="2214"/>
      <c r="J2" s="2214"/>
    </row>
    <row r="3" spans="1:11" ht="15.75">
      <c r="A3" s="2214" t="str">
        <f>'Subsidy Layering Memo'!F14</f>
        <v>Atlanta, Fulton</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4291</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800000</v>
      </c>
    </row>
    <row r="16" spans="1:11">
      <c r="A16" s="692" t="s">
        <v>2943</v>
      </c>
      <c r="D16" s="693">
        <f>Overview!C13</f>
        <v>48</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zoomScalePageLayoutView="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2018-046  Abbington on Cheshire Bridge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Abbington on Cheshire Bridge</v>
      </c>
      <c r="D8" s="2219"/>
      <c r="E8" s="1458" t="str">
        <f>'Part I-Project Information'!O6</f>
        <v>2018-046</v>
      </c>
      <c r="F8" s="728" t="s">
        <v>3010</v>
      </c>
      <c r="G8" s="727"/>
      <c r="H8" s="2219" t="str">
        <f>CONCATENATE('Part I-Project Information'!F38,", ",'Part I-Project Information'!J39)</f>
        <v>Atlanta, Fulton</v>
      </c>
      <c r="I8" s="2219"/>
      <c r="J8" s="2219"/>
      <c r="K8" s="2219"/>
      <c r="L8" s="686"/>
      <c r="M8" s="729"/>
    </row>
    <row r="9" spans="1:14" ht="15.75">
      <c r="A9" s="689" t="s">
        <v>3012</v>
      </c>
      <c r="B9" s="689"/>
      <c r="C9" s="2219" t="s">
        <v>1784</v>
      </c>
      <c r="D9" s="2219"/>
      <c r="E9" s="727"/>
      <c r="F9" s="728" t="s">
        <v>3013</v>
      </c>
      <c r="G9" s="727"/>
      <c r="H9" s="2219" t="str">
        <f>'Part II-Development Team'!H5</f>
        <v>Atlanta Abbington on Cheshire Bridge, LP</v>
      </c>
      <c r="I9" s="2219"/>
      <c r="J9" s="2219"/>
      <c r="K9" s="2219"/>
      <c r="L9" s="2219"/>
      <c r="M9" s="729"/>
    </row>
    <row r="10" spans="1:14" ht="15.75">
      <c r="A10" s="689" t="s">
        <v>3015</v>
      </c>
      <c r="B10" s="686"/>
      <c r="C10" s="1458" t="str">
        <f>'Part II-Development Team'!H14</f>
        <v>Abbington on Cheshire Bridge Partner, LLC</v>
      </c>
      <c r="D10" s="727"/>
      <c r="E10" s="727"/>
      <c r="F10" s="728" t="s">
        <v>3584</v>
      </c>
      <c r="G10" s="727"/>
      <c r="H10" s="2219" t="str">
        <f>'Part II-Development Team'!H33</f>
        <v>SunTrust Community Capital, LLC</v>
      </c>
      <c r="I10" s="2219"/>
      <c r="J10" s="2219"/>
      <c r="K10" s="2219" t="str">
        <f>'Part II-Development Team'!H39</f>
        <v>SunTrust Community Capital, LLC</v>
      </c>
      <c r="L10" s="2219"/>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9" t="str">
        <f>'Part II-Development Team'!H54</f>
        <v>Rea Ventures Group, LLC</v>
      </c>
      <c r="I11" s="2219"/>
      <c r="J11" s="2219"/>
      <c r="K11" s="2219" t="str">
        <f>'Part II-Development Team'!H60</f>
        <v>Brady Development, LLC</v>
      </c>
      <c r="L11" s="2219"/>
      <c r="M11" s="2219">
        <f>'Part II-Development Team'!H66</f>
        <v>0</v>
      </c>
      <c r="N11" s="2219"/>
    </row>
    <row r="12" spans="1:14" ht="15.75">
      <c r="A12" s="689" t="s">
        <v>3017</v>
      </c>
      <c r="B12" s="686"/>
      <c r="C12" s="1458" t="str">
        <f>'Part II-Development Team'!H86</f>
        <v>Great Southern, LLC</v>
      </c>
      <c r="D12" s="727"/>
      <c r="E12" s="727"/>
      <c r="F12" s="728" t="s">
        <v>3018</v>
      </c>
      <c r="G12" s="727"/>
      <c r="H12" s="2219" t="str">
        <f>'Part II-Development Team'!H92</f>
        <v>Boyd Management</v>
      </c>
      <c r="I12" s="2219"/>
      <c r="J12" s="2219"/>
      <c r="K12" s="2219"/>
      <c r="L12" s="686"/>
      <c r="M12" s="686"/>
    </row>
    <row r="13" spans="1:14" ht="15.75">
      <c r="A13" s="689" t="s">
        <v>3019</v>
      </c>
      <c r="B13" s="728"/>
      <c r="C13" s="685">
        <f>'Part VI-Revenues &amp; Expenses'!$O$62</f>
        <v>48</v>
      </c>
      <c r="E13" s="1389">
        <f>'Part VI-Revenues &amp; Expenses'!$O$58</f>
        <v>40</v>
      </c>
      <c r="F13" s="728" t="s">
        <v>4301</v>
      </c>
      <c r="G13" s="727"/>
      <c r="H13" s="1459">
        <f>'Part I-Project Information'!H72</f>
        <v>1</v>
      </c>
      <c r="I13" s="1390"/>
      <c r="J13" s="1390"/>
      <c r="K13" s="1459">
        <f>'Part I-Project Information'!P71</f>
        <v>57401</v>
      </c>
      <c r="L13" s="686"/>
      <c r="M13" s="686"/>
    </row>
    <row r="14" spans="1:14" ht="15.75">
      <c r="A14" s="689" t="s">
        <v>3327</v>
      </c>
      <c r="B14" s="686"/>
      <c r="C14" s="1459" t="str">
        <f>'Part I-Project Information'!H78</f>
        <v>Family</v>
      </c>
      <c r="D14" s="2219" t="str">
        <f>IF('Part I-Project Information'!N70=0,"",'Part I-Project Information'!N70)</f>
        <v/>
      </c>
      <c r="E14" s="2219"/>
      <c r="F14" s="728" t="s">
        <v>3020</v>
      </c>
      <c r="G14" s="727"/>
      <c r="H14" s="2224" t="s">
        <v>3523</v>
      </c>
      <c r="I14" s="2224"/>
      <c r="J14" s="2224"/>
      <c r="K14" s="2224" t="s">
        <v>3523</v>
      </c>
      <c r="L14" s="2224"/>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11919387</v>
      </c>
      <c r="D18" s="1437">
        <f>IF(C18=0,"",$C$29/C18)</f>
        <v>6.7117545558341207E-2</v>
      </c>
      <c r="E18" s="727" t="s">
        <v>3331</v>
      </c>
      <c r="F18" s="728" t="s">
        <v>3332</v>
      </c>
      <c r="G18" s="727"/>
      <c r="H18" s="2218">
        <f>'Part IV-A-Uses of Funds'!B44</f>
        <v>6644376</v>
      </c>
      <c r="I18" s="2218"/>
      <c r="J18" s="1436">
        <f>IF(H18=0,"",$C$29/H18)</f>
        <v>0.12040257806000142</v>
      </c>
      <c r="K18" s="2219" t="s">
        <v>3333</v>
      </c>
      <c r="L18" s="2219"/>
      <c r="M18" s="686"/>
    </row>
    <row r="19" spans="1:13" ht="15.75">
      <c r="A19" s="689" t="s">
        <v>3022</v>
      </c>
      <c r="B19" s="686"/>
      <c r="C19" s="1460">
        <f>C18/C13</f>
        <v>248320.5625</v>
      </c>
      <c r="D19" s="727"/>
      <c r="E19" s="686"/>
      <c r="F19" s="689" t="s">
        <v>3022</v>
      </c>
      <c r="G19" s="686"/>
      <c r="H19" s="2220">
        <f>H18/C13</f>
        <v>138424.5</v>
      </c>
      <c r="I19" s="2220"/>
      <c r="J19" s="686"/>
      <c r="K19" s="686"/>
      <c r="L19" s="686"/>
      <c r="M19" s="686"/>
    </row>
    <row r="20" spans="1:13" ht="15.75">
      <c r="A20" s="689" t="s">
        <v>3023</v>
      </c>
      <c r="B20" s="686"/>
      <c r="C20" s="1462">
        <f>C18/K13</f>
        <v>207.6512081671051</v>
      </c>
      <c r="D20" s="732"/>
      <c r="E20" s="733"/>
      <c r="F20" s="689" t="s">
        <v>3023</v>
      </c>
      <c r="G20" s="686"/>
      <c r="H20" s="2221">
        <f>H18/K13</f>
        <v>115.75366282817373</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Conventional Permanent Loan - SunTrust</v>
      </c>
      <c r="C25" s="739">
        <f>'Part III-Sources of Funds'!I37</f>
        <v>800000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800000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9852215</v>
      </c>
      <c r="D30" s="686"/>
      <c r="E30" s="686"/>
      <c r="F30" s="727"/>
      <c r="G30" s="686"/>
      <c r="H30" s="686"/>
      <c r="I30" s="686"/>
      <c r="K30" s="745"/>
      <c r="L30" s="727"/>
      <c r="M30" s="686"/>
    </row>
    <row r="31" spans="1:13" ht="15">
      <c r="A31" s="746" t="s">
        <v>3034</v>
      </c>
      <c r="B31" s="738" t="str">
        <f>'Part III-Sources of Funds'!E38</f>
        <v>Invest Atlanta - Housing Opportunity Bonds Loan</v>
      </c>
      <c r="C31" s="739">
        <f>'Part III-Sources of Funds'!I38</f>
        <v>1200000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1200000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2000000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0.16779386389585305</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0.30100644515000358</v>
      </c>
      <c r="D40" s="686"/>
      <c r="E40" s="686"/>
      <c r="F40" s="689"/>
      <c r="G40" s="689" t="s">
        <v>3043</v>
      </c>
      <c r="H40" s="686"/>
      <c r="I40" s="686"/>
      <c r="K40" s="741">
        <f>C30/C18</f>
        <v>0.8265706113913408</v>
      </c>
      <c r="L40" s="686"/>
      <c r="M40" s="686"/>
    </row>
    <row r="46" spans="1:13" ht="15.75">
      <c r="A46" s="752" t="s">
        <v>3044</v>
      </c>
      <c r="B46" s="722"/>
      <c r="C46" s="722"/>
      <c r="D46" s="722"/>
      <c r="E46" s="722"/>
      <c r="F46" s="722"/>
      <c r="G46" s="722"/>
      <c r="H46" s="722"/>
      <c r="I46" s="722"/>
      <c r="J46" s="722"/>
      <c r="K46" s="722"/>
      <c r="L46" s="722"/>
      <c r="M46" s="686"/>
    </row>
    <row r="47" spans="1:13" ht="15.75">
      <c r="A47" s="752" t="str">
        <f>C8</f>
        <v>Abbington on Cheshire Bridge</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434712</v>
      </c>
      <c r="D52" s="758"/>
      <c r="E52" s="758">
        <f>$C$52</f>
        <v>434712</v>
      </c>
      <c r="F52" s="758"/>
      <c r="G52" s="758">
        <f>$C$52</f>
        <v>434712</v>
      </c>
      <c r="H52" s="758"/>
      <c r="I52" s="758">
        <f>$C$52</f>
        <v>434712</v>
      </c>
      <c r="J52" s="758"/>
      <c r="K52" s="758">
        <f>$C$52</f>
        <v>434712</v>
      </c>
      <c r="L52" s="759"/>
      <c r="M52" s="28"/>
      <c r="N52" s="28"/>
    </row>
    <row r="53" spans="1:14" s="686" customFormat="1" ht="18.75" customHeight="1">
      <c r="B53" s="757" t="s">
        <v>3051</v>
      </c>
      <c r="C53" s="758">
        <f>'Part VII-Pro Forma'!B15</f>
        <v>8694.24</v>
      </c>
      <c r="D53" s="758"/>
      <c r="E53" s="758">
        <f>$C$53</f>
        <v>8694.24</v>
      </c>
      <c r="F53" s="758"/>
      <c r="G53" s="758">
        <f>$C$53</f>
        <v>8694.24</v>
      </c>
      <c r="H53" s="758"/>
      <c r="I53" s="758">
        <f>$C$53</f>
        <v>8694.24</v>
      </c>
      <c r="J53" s="758"/>
      <c r="K53" s="758">
        <f>$C$53</f>
        <v>8694.24</v>
      </c>
      <c r="L53" s="759"/>
      <c r="M53" s="28"/>
      <c r="N53" s="28"/>
    </row>
    <row r="54" spans="1:14" s="686" customFormat="1" ht="18.75" customHeight="1">
      <c r="B54" s="757" t="s">
        <v>3049</v>
      </c>
      <c r="C54" s="758">
        <f>'Part VII-Pro Forma'!B16</f>
        <v>-31038.436800000003</v>
      </c>
      <c r="D54" s="758"/>
      <c r="E54" s="758">
        <f>-($C$52+E53)*F50</f>
        <v>-44340.624000000003</v>
      </c>
      <c r="F54" s="760"/>
      <c r="G54" s="758">
        <f>-($C$52+G53)*0.07</f>
        <v>-31038.436800000003</v>
      </c>
      <c r="H54" s="758"/>
      <c r="I54" s="758">
        <f>-($C$52+I53)*0.07</f>
        <v>-31038.436800000003</v>
      </c>
      <c r="J54" s="758"/>
      <c r="K54" s="758">
        <f>-($C$52+K53)*L54</f>
        <v>-44340.624000000003</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412367.80319999997</v>
      </c>
      <c r="D56" s="758"/>
      <c r="E56" s="764">
        <f>SUM(E52:E55)</f>
        <v>399065.61599999998</v>
      </c>
      <c r="F56" s="758"/>
      <c r="G56" s="764">
        <f>SUM(G52:G55)</f>
        <v>412367.80319999997</v>
      </c>
      <c r="H56" s="758"/>
      <c r="I56" s="764">
        <f>SUM(I52:I55)</f>
        <v>412367.80319999997</v>
      </c>
      <c r="J56" s="758"/>
      <c r="K56" s="764">
        <f>SUM(K52:K55)</f>
        <v>399065.61599999998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126491</v>
      </c>
      <c r="D58" s="758"/>
      <c r="E58" s="758">
        <f>$C$58</f>
        <v>126491</v>
      </c>
      <c r="F58" s="758"/>
      <c r="G58" s="758">
        <f>$C$58</f>
        <v>126491</v>
      </c>
      <c r="H58" s="758"/>
      <c r="I58" s="758">
        <f>$C$58</f>
        <v>126491</v>
      </c>
      <c r="J58" s="758"/>
      <c r="K58" s="758">
        <f>$C$58</f>
        <v>126491</v>
      </c>
      <c r="L58" s="759"/>
      <c r="M58" s="28"/>
      <c r="N58" s="28"/>
    </row>
    <row r="59" spans="1:14" s="686" customFormat="1" ht="18.75" customHeight="1">
      <c r="B59" s="757" t="s">
        <v>3054</v>
      </c>
      <c r="C59" s="758">
        <f>+'Part VI-Revenues &amp; Expenses'!F188</f>
        <v>31700</v>
      </c>
      <c r="D59" s="758"/>
      <c r="E59" s="758">
        <f>$C$59</f>
        <v>31700</v>
      </c>
      <c r="F59" s="758"/>
      <c r="G59" s="758">
        <f>$C$59</f>
        <v>31700</v>
      </c>
      <c r="H59" s="758"/>
      <c r="I59" s="758">
        <f>$C$59</f>
        <v>31700</v>
      </c>
      <c r="J59" s="758"/>
      <c r="K59" s="758">
        <f>$C$59*(1+$L$59)</f>
        <v>32968</v>
      </c>
      <c r="L59" s="766">
        <v>0.04</v>
      </c>
      <c r="M59" s="28"/>
      <c r="N59" s="28"/>
    </row>
    <row r="60" spans="1:14" s="686" customFormat="1" ht="18.75" customHeight="1">
      <c r="B60" s="757" t="s">
        <v>1387</v>
      </c>
      <c r="C60" s="758">
        <f>+'Part VI-Revenues &amp; Expenses'!K185</f>
        <v>17400</v>
      </c>
      <c r="D60" s="758"/>
      <c r="E60" s="758">
        <f>$C$60</f>
        <v>17400</v>
      </c>
      <c r="F60" s="758"/>
      <c r="G60" s="758">
        <f>$C$60</f>
        <v>17400</v>
      </c>
      <c r="H60" s="758"/>
      <c r="I60" s="758">
        <f>$C$60*(1+$J$50)</f>
        <v>17922</v>
      </c>
      <c r="J60" s="760"/>
      <c r="K60" s="758">
        <f>$C$60*(1+$J$50)</f>
        <v>17922</v>
      </c>
      <c r="L60" s="761">
        <v>0.03</v>
      </c>
      <c r="M60" s="28"/>
      <c r="N60" s="28"/>
    </row>
    <row r="61" spans="1:14" s="686" customFormat="1" ht="18.75" customHeight="1">
      <c r="B61" s="757" t="s">
        <v>1388</v>
      </c>
      <c r="C61" s="758">
        <f>+'Part VI-Revenues &amp; Expenses'!P167</f>
        <v>62700</v>
      </c>
      <c r="D61" s="758"/>
      <c r="E61" s="758">
        <f>$C$61</f>
        <v>62700</v>
      </c>
      <c r="F61" s="758"/>
      <c r="G61" s="758">
        <f>$C$61*(1+H50)</f>
        <v>65835</v>
      </c>
      <c r="H61" s="760"/>
      <c r="I61" s="758">
        <f>$C$61</f>
        <v>62700</v>
      </c>
      <c r="J61" s="758"/>
      <c r="K61" s="758">
        <f>$C$61*(1+$L$61)</f>
        <v>65835</v>
      </c>
      <c r="L61" s="761">
        <v>0.05</v>
      </c>
      <c r="M61" s="28"/>
      <c r="N61" s="28"/>
    </row>
    <row r="62" spans="1:14" s="686" customFormat="1" ht="18.75" customHeight="1">
      <c r="B62" s="763" t="s">
        <v>3055</v>
      </c>
      <c r="C62" s="764">
        <f>SUM(C58:C61)</f>
        <v>238291</v>
      </c>
      <c r="D62" s="758"/>
      <c r="E62" s="764">
        <f>SUM(E58:E61)</f>
        <v>238291</v>
      </c>
      <c r="F62" s="758"/>
      <c r="G62" s="764">
        <f>SUM(G58:G61)</f>
        <v>241426</v>
      </c>
      <c r="H62" s="758"/>
      <c r="I62" s="764">
        <f>SUM(I58:I61)</f>
        <v>238813</v>
      </c>
      <c r="J62" s="758"/>
      <c r="K62" s="764">
        <f>SUM(K58:K61)</f>
        <v>243216</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174076.80319999997</v>
      </c>
      <c r="D64" s="770"/>
      <c r="E64" s="770">
        <f>E56-E62</f>
        <v>160774.61599999998</v>
      </c>
      <c r="F64" s="770"/>
      <c r="G64" s="770">
        <f>G56-G62</f>
        <v>170941.80319999997</v>
      </c>
      <c r="H64" s="770"/>
      <c r="I64" s="770">
        <f>I56-I62</f>
        <v>173554.80319999997</v>
      </c>
      <c r="J64" s="770"/>
      <c r="K64" s="770">
        <f>K56-K62</f>
        <v>155849.61599999998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12000</v>
      </c>
      <c r="D66" s="765"/>
      <c r="E66" s="765">
        <f>$C$66</f>
        <v>12000</v>
      </c>
      <c r="F66" s="765"/>
      <c r="G66" s="765">
        <f>$C$66</f>
        <v>12000</v>
      </c>
      <c r="H66" s="765"/>
      <c r="I66" s="765">
        <f>$C$66</f>
        <v>12000</v>
      </c>
      <c r="J66" s="765"/>
      <c r="K66" s="765">
        <f>$C$66</f>
        <v>12000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20618</v>
      </c>
      <c r="D68" s="765"/>
      <c r="E68" s="765">
        <f>$C$68</f>
        <v>20618</v>
      </c>
      <c r="F68" s="765"/>
      <c r="G68" s="765">
        <f>$C$68</f>
        <v>20618</v>
      </c>
      <c r="H68" s="765"/>
      <c r="I68" s="765">
        <f>$C$68</f>
        <v>20618</v>
      </c>
      <c r="J68" s="765"/>
      <c r="K68" s="765">
        <f>$C$68</f>
        <v>20618</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141458.80319999997</v>
      </c>
      <c r="D70" s="774"/>
      <c r="E70" s="773">
        <f>E64-E66-E68</f>
        <v>128156.61599999998</v>
      </c>
      <c r="F70" s="774"/>
      <c r="G70" s="773">
        <f>G64-G66-G68</f>
        <v>138323.80319999997</v>
      </c>
      <c r="H70" s="774"/>
      <c r="I70" s="773">
        <f>I64-I66-I68</f>
        <v>140936.80319999997</v>
      </c>
      <c r="J70" s="774"/>
      <c r="K70" s="773">
        <f>K64-K66-K68</f>
        <v>123231.61599999998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1.2592690864047349</v>
      </c>
      <c r="D72" s="776"/>
      <c r="E72" s="1438">
        <f>-E70/E75</f>
        <v>1.1408527507395343</v>
      </c>
      <c r="F72" s="776"/>
      <c r="G72" s="1438">
        <f>-G70/G75</f>
        <v>1.2313612539010392</v>
      </c>
      <c r="H72" s="776"/>
      <c r="I72" s="1438">
        <f>-I70/I75</f>
        <v>1.254622231997421</v>
      </c>
      <c r="J72" s="776"/>
      <c r="K72" s="1438">
        <f>-K70/K75</f>
        <v>1.0970103025479232</v>
      </c>
      <c r="L72" s="777"/>
      <c r="M72" s="254"/>
      <c r="N72" s="254"/>
    </row>
    <row r="73" spans="1:14" s="686" customFormat="1" ht="18.75" customHeight="1">
      <c r="A73" s="28"/>
      <c r="B73" s="757" t="s">
        <v>3061</v>
      </c>
      <c r="C73" s="1439">
        <f>C76/C62</f>
        <v>0.12222344902609081</v>
      </c>
      <c r="D73" s="778"/>
      <c r="E73" s="1439">
        <f>E76/E62</f>
        <v>6.6400160693757718E-2</v>
      </c>
      <c r="F73" s="778"/>
      <c r="G73" s="1439">
        <f>G76/G62</f>
        <v>0.10765098991772305</v>
      </c>
      <c r="H73" s="778"/>
      <c r="I73" s="1439">
        <f>I76/I62</f>
        <v>0.1197704810536956</v>
      </c>
      <c r="J73" s="778"/>
      <c r="K73" s="1439">
        <f>K76/K62</f>
        <v>4.4806101127706319E-2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-112334.05530812376</v>
      </c>
      <c r="D75" s="758"/>
      <c r="E75" s="758">
        <f>$C$75</f>
        <v>-112334.05530812376</v>
      </c>
      <c r="F75" s="758"/>
      <c r="G75" s="758">
        <f>$C$75</f>
        <v>-112334.05530812376</v>
      </c>
      <c r="H75" s="758"/>
      <c r="I75" s="758">
        <f>$C$75</f>
        <v>-112334.05530812376</v>
      </c>
      <c r="J75" s="758"/>
      <c r="K75" s="758">
        <f>$C$75</f>
        <v>-112334.05530812376</v>
      </c>
      <c r="L75" s="34"/>
      <c r="M75" s="28"/>
      <c r="N75" s="28"/>
    </row>
    <row r="76" spans="1:14" s="686" customFormat="1" ht="18.75" customHeight="1">
      <c r="A76" s="28"/>
      <c r="B76" s="757" t="s">
        <v>1175</v>
      </c>
      <c r="C76" s="758">
        <f>C70+C75</f>
        <v>29124.747891876206</v>
      </c>
      <c r="D76" s="758"/>
      <c r="E76" s="758">
        <f>E70+E75</f>
        <v>15822.560691876221</v>
      </c>
      <c r="F76" s="758"/>
      <c r="G76" s="758">
        <f>G70+G75</f>
        <v>25989.747891876206</v>
      </c>
      <c r="H76" s="758"/>
      <c r="I76" s="758">
        <f>I70+I75</f>
        <v>28602.747891876206</v>
      </c>
      <c r="J76" s="758"/>
      <c r="K76" s="758">
        <f>K70+K75</f>
        <v>10897.560691876221</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headerFooter>
    <oddHeader>&amp;L&amp;9Georgia Department of Community Affairs&amp;CHOME Application Overview&amp;R&amp;9Housing Finance and Development Division</oddHeader>
    <oddFooter>&amp;Cpage &amp;P of &amp;N</oddFooter>
  </headerFooter>
  <rowBreaks count="1" manualBreakCount="1">
    <brk id="43"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42578125" style="698" customWidth="1"/>
    <col min="9" max="9" width="28.42578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42578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Abbington on Cheshire Bridge</v>
      </c>
    </row>
    <row r="13" spans="1:10" ht="15">
      <c r="A13" s="699"/>
      <c r="D13" s="698" t="s">
        <v>2959</v>
      </c>
      <c r="F13" s="1467" t="str">
        <f>Overview!E8</f>
        <v>2018-046</v>
      </c>
    </row>
    <row r="14" spans="1:10" ht="15">
      <c r="A14" s="699"/>
      <c r="D14" s="698" t="s">
        <v>2960</v>
      </c>
      <c r="F14" s="1467" t="str">
        <f>Overview!H8</f>
        <v>Atlanta, Fulton</v>
      </c>
    </row>
    <row r="15" spans="1:10" ht="15">
      <c r="A15" s="699"/>
      <c r="D15" s="698" t="s">
        <v>3324</v>
      </c>
      <c r="F15" s="2225">
        <f>Overview!$C$25</f>
        <v>800000</v>
      </c>
      <c r="G15" s="2225"/>
      <c r="H15" s="2225"/>
    </row>
    <row r="16" spans="1:10" ht="15">
      <c r="A16" s="699"/>
      <c r="D16" s="701" t="s">
        <v>2961</v>
      </c>
      <c r="F16" s="702">
        <f>Overview!C13</f>
        <v>48</v>
      </c>
      <c r="G16" s="703" t="s">
        <v>3325</v>
      </c>
      <c r="H16" s="1391">
        <f>Overview!E13</f>
        <v>40</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2232" t="s">
        <v>3522</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4292</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4302</v>
      </c>
      <c r="B44" s="2211"/>
      <c r="C44" s="2211"/>
      <c r="D44" s="2211"/>
      <c r="E44" s="2211"/>
      <c r="F44" s="2211"/>
      <c r="G44" s="2211"/>
      <c r="H44" s="2211"/>
      <c r="I44" s="2211"/>
      <c r="J44" s="2210"/>
    </row>
    <row r="45" spans="1:10" ht="3" customHeight="1"/>
    <row r="46" spans="1:10" ht="72.75" customHeight="1">
      <c r="A46" s="2210" t="s">
        <v>4303</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4304</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4305</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4306</v>
      </c>
      <c r="B54" s="2229"/>
      <c r="C54" s="2229"/>
      <c r="D54" s="2229"/>
      <c r="E54" s="2229"/>
      <c r="F54" s="2229"/>
      <c r="G54" s="2229"/>
      <c r="H54" s="2229"/>
      <c r="I54" s="2229"/>
      <c r="J54" s="2229"/>
    </row>
    <row r="55" spans="1:17" ht="3" customHeight="1"/>
    <row r="56" spans="1:17" ht="73.5" customHeight="1">
      <c r="A56" s="2210" t="s">
        <v>4307</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2" t="s">
        <v>2971</v>
      </c>
      <c r="B59" s="2232"/>
      <c r="C59" s="2232"/>
      <c r="D59" s="2232"/>
      <c r="E59" s="2232"/>
      <c r="F59" s="2232"/>
      <c r="G59" s="2232"/>
      <c r="H59" s="2232"/>
      <c r="I59" s="2232"/>
      <c r="J59" s="2232"/>
      <c r="L59" s="706">
        <f>'Closing term sheet'!C133</f>
        <v>581414</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9" t="s">
        <v>3412</v>
      </c>
      <c r="B61" s="2229"/>
      <c r="C61" s="2229"/>
      <c r="D61" s="2229"/>
      <c r="E61" s="2229"/>
      <c r="F61" s="2229"/>
      <c r="G61" s="2229"/>
      <c r="H61" s="2229"/>
      <c r="I61" s="2229"/>
      <c r="J61" s="711"/>
      <c r="L61" s="712">
        <f>'Part III-Sources of Funds'!I49</f>
        <v>6068393</v>
      </c>
      <c r="M61" s="713">
        <f>'Part IV-A-Uses of Funds'!$J$175</f>
        <v>714000</v>
      </c>
      <c r="N61" s="714">
        <f>'Part IV-A-Uses of Funds'!N168</f>
        <v>0.85</v>
      </c>
      <c r="O61" s="712">
        <f>'Part III-Sources of Funds'!I50</f>
        <v>3783822</v>
      </c>
      <c r="P61" s="713">
        <f>M61</f>
        <v>714000</v>
      </c>
      <c r="Q61" s="714">
        <f>'Part IV-A-Uses of Funds'!Q168</f>
        <v>0.53</v>
      </c>
    </row>
    <row r="62" spans="1:17" ht="18.75" customHeight="1">
      <c r="A62" s="715" t="s">
        <v>2972</v>
      </c>
    </row>
    <row r="63" spans="1:17" ht="159.75" customHeight="1">
      <c r="A63" s="2229" t="s">
        <v>4308</v>
      </c>
      <c r="B63" s="2229"/>
      <c r="C63" s="2229"/>
      <c r="D63" s="2229"/>
      <c r="E63" s="2229"/>
      <c r="F63" s="2229"/>
      <c r="G63" s="2229"/>
      <c r="H63" s="2229"/>
      <c r="I63" s="2229"/>
      <c r="J63" s="2229"/>
      <c r="L63" s="716">
        <f>'Part VII-Pro Forma'!K67</f>
        <v>438700.86870868062</v>
      </c>
      <c r="M63" s="2233" t="s">
        <v>3521</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4520</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4309</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438700.86870868062</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4310</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headerFooter>
    <oddFooter>&amp;Cpage &amp;P of &amp;N</oddFooter>
  </headerFooter>
  <rowBreaks count="2" manualBreakCount="2">
    <brk id="39" max="9" man="1"/>
    <brk id="61" max="9" man="1"/>
  </row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8.8554687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42578125" style="698" customWidth="1"/>
    <col min="10" max="10" width="6" style="698" customWidth="1"/>
    <col min="11" max="11" width="12.7109375" style="698" customWidth="1"/>
    <col min="12" max="12" width="10.85546875" style="698" customWidth="1"/>
    <col min="13" max="13" width="26.28515625" style="698" customWidth="1"/>
    <col min="14" max="14" width="8.85546875" style="698"/>
    <col min="15" max="15" width="12.42578125" style="698" customWidth="1"/>
    <col min="16" max="16" width="8.85546875" style="698"/>
    <col min="17" max="17" width="11.7109375" style="698" bestFit="1" customWidth="1"/>
    <col min="18" max="16384" width="8.85546875" style="698"/>
  </cols>
  <sheetData>
    <row r="1" spans="1:15" ht="13.5" customHeight="1">
      <c r="A1" s="699" t="s">
        <v>3067</v>
      </c>
      <c r="B1" s="783"/>
      <c r="C1" s="698" t="str">
        <f>Overview!C8</f>
        <v>Abbington on Cheshire Bridge</v>
      </c>
    </row>
    <row r="2" spans="1:15" ht="13.5" customHeight="1"/>
    <row r="3" spans="1:15" ht="13.5" customHeight="1">
      <c r="A3" s="699" t="s">
        <v>3068</v>
      </c>
      <c r="C3" s="698" t="s">
        <v>3069</v>
      </c>
      <c r="E3" s="784">
        <f>SUM('Part IV-A-Uses of Funds'!J149,'Part IV-A-Uses of Funds'!M149,'Part IV-A-Uses of Funds'!P149)</f>
        <v>9423318</v>
      </c>
      <c r="F3" s="1467" t="s">
        <v>3070</v>
      </c>
      <c r="H3" s="1440">
        <v>27.5</v>
      </c>
      <c r="I3" s="698" t="s">
        <v>2485</v>
      </c>
      <c r="K3" s="703" t="s">
        <v>3091</v>
      </c>
      <c r="M3" s="1467"/>
      <c r="O3" s="785"/>
    </row>
    <row r="4" spans="1:15" ht="13.5" customHeight="1">
      <c r="C4" s="698" t="s">
        <v>3579</v>
      </c>
      <c r="E4" s="784">
        <f>SUM('Part IV-A-Uses of Funds'!G85:H89)</f>
        <v>43000</v>
      </c>
      <c r="F4" s="1467" t="s">
        <v>4522</v>
      </c>
      <c r="H4" s="699">
        <f>'Part III-Sources of Funds'!M37</f>
        <v>30</v>
      </c>
      <c r="I4" s="698" t="s">
        <v>2485</v>
      </c>
      <c r="K4" s="786" t="s">
        <v>3336</v>
      </c>
      <c r="M4" s="1467"/>
    </row>
    <row r="5" spans="1:15" ht="13.5" customHeight="1">
      <c r="C5" s="698" t="s">
        <v>3580</v>
      </c>
      <c r="E5" s="784">
        <f>SUM('Part IV-A-Uses of Funds'!G96:H102)</f>
        <v>108020</v>
      </c>
      <c r="F5" s="1467" t="s">
        <v>4521</v>
      </c>
      <c r="H5" s="1440">
        <v>15</v>
      </c>
      <c r="I5" s="698" t="s">
        <v>2485</v>
      </c>
      <c r="K5" s="785">
        <f>-E6</f>
        <v>-9852215</v>
      </c>
    </row>
    <row r="6" spans="1:15" ht="13.5" customHeight="1">
      <c r="C6" s="698" t="s">
        <v>3071</v>
      </c>
      <c r="E6" s="787">
        <f>'Part III-Sources of Funds'!$I$49+'Part III-Sources of Funds'!$I$50</f>
        <v>9852215</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-0.25210812378645642</v>
      </c>
      <c r="D9" s="792">
        <f>'Part VII-Pro Forma'!C30</f>
        <v>0.37395587619539583</v>
      </c>
      <c r="E9" s="792">
        <f>'Part VII-Pro Forma'!D30</f>
        <v>-0.4547588437635568</v>
      </c>
      <c r="F9" s="792">
        <f>'Part VII-Pro Forma'!E30</f>
        <v>21761.678633141808</v>
      </c>
      <c r="G9" s="792">
        <f>'Part VII-Pro Forma'!F30</f>
        <v>22326.050534397153</v>
      </c>
      <c r="H9" s="792">
        <f>'Part VII-Pro Forma'!G30</f>
        <v>22200.791990350514</v>
      </c>
      <c r="I9" s="792">
        <f>'Part VII-Pro Forma'!H30</f>
        <v>21985.883655596022</v>
      </c>
      <c r="K9" s="785" t="e">
        <f>F24</f>
        <v>#VALUE!</v>
      </c>
      <c r="N9" s="793" t="s">
        <v>3077</v>
      </c>
    </row>
    <row r="10" spans="1:15" ht="13.5" customHeight="1">
      <c r="A10" s="698" t="s">
        <v>3076</v>
      </c>
      <c r="C10" s="1398">
        <f>'Part III-Sources of Funds'!I37-'Part VII-Pro Forma'!B37</f>
        <v>9374.3654527383624</v>
      </c>
      <c r="D10" s="794">
        <f>'Part VII-Pro Forma'!B37-'Part VII-Pro Forma'!C37</f>
        <v>9977.3416494415142</v>
      </c>
      <c r="E10" s="794">
        <f>'Part VII-Pro Forma'!C37-'Part VII-Pro Forma'!D37</f>
        <v>10619.102369281114</v>
      </c>
      <c r="F10" s="794">
        <f>'Part VII-Pro Forma'!D37-'Part VII-Pro Forma'!E37</f>
        <v>11302.142303163884</v>
      </c>
      <c r="G10" s="794">
        <f>'Part VII-Pro Forma'!E37-'Part VII-Pro Forma'!F37</f>
        <v>12029.11660504248</v>
      </c>
      <c r="H10" s="794">
        <f>'Part VII-Pro Forma'!F37-'Part VII-Pro Forma'!G37</f>
        <v>12802.851213190239</v>
      </c>
      <c r="I10" s="794">
        <f>'Part VII-Pro Forma'!G37-'Part VII-Pro Forma'!H37</f>
        <v>13626.353835357702</v>
      </c>
      <c r="K10" s="785" t="e">
        <f>G24</f>
        <v>#VALUE!</v>
      </c>
      <c r="N10" s="793" t="s">
        <v>3078</v>
      </c>
      <c r="O10" s="790"/>
    </row>
    <row r="11" spans="1:15" ht="13.5" customHeight="1">
      <c r="A11" s="698" t="s">
        <v>3076</v>
      </c>
      <c r="C11" s="1398">
        <f>'Part III-Sources of Funds'!I38-'Part VII-Pro Forma'!B38</f>
        <v>29494.595687832218</v>
      </c>
      <c r="D11" s="794">
        <f>'Part VII-Pro Forma'!B38-'Part VII-Pro Forma'!C38</f>
        <v>30089.925097877625</v>
      </c>
      <c r="E11" s="794">
        <f>'Part VII-Pro Forma'!C38-'Part VII-Pro Forma'!D38</f>
        <v>30697.270848482847</v>
      </c>
      <c r="F11" s="794">
        <f>'Part VII-Pro Forma'!D38-'Part VII-Pro Forma'!E38</f>
        <v>31316.875481740106</v>
      </c>
      <c r="G11" s="794">
        <f>'Part VII-Pro Forma'!E38-'Part VII-Pro Forma'!F38</f>
        <v>31948.986435296829</v>
      </c>
      <c r="H11" s="794">
        <f>'Part VII-Pro Forma'!F38-'Part VII-Pro Forma'!G38</f>
        <v>32593.856141170254</v>
      </c>
      <c r="I11" s="794">
        <f>'Part VII-Pro Forma'!G38-'Part VII-Pro Forma'!H38</f>
        <v>33251.742126555415</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-12000</v>
      </c>
      <c r="D13" s="1399">
        <f>'Part VII-Pro Forma'!C21</f>
        <v>-12360</v>
      </c>
      <c r="E13" s="1399">
        <f>'Part VII-Pro Forma'!D21</f>
        <v>-12730.8</v>
      </c>
      <c r="F13" s="1399">
        <f>'Part VII-Pro Forma'!E21</f>
        <v>-13112.724</v>
      </c>
      <c r="G13" s="1399">
        <f>'Part VII-Pro Forma'!F21</f>
        <v>-13506.10572</v>
      </c>
      <c r="H13" s="1399">
        <f>'Part VII-Pro Forma'!G21</f>
        <v>-13911.288891599997</v>
      </c>
      <c r="I13" s="1399">
        <f>'Part VII-Pro Forma'!H21</f>
        <v>-14328.627558347998</v>
      </c>
      <c r="K13" s="785" t="e">
        <f>C44</f>
        <v>#VALUE!</v>
      </c>
      <c r="O13" s="790"/>
    </row>
    <row r="14" spans="1:15" ht="13.5" customHeight="1">
      <c r="A14" s="796" t="s">
        <v>3583</v>
      </c>
      <c r="B14" s="797"/>
      <c r="C14" s="1399">
        <f>'Part VII-Pro Forma'!B29</f>
        <v>-22025</v>
      </c>
      <c r="D14" s="1399">
        <f>'Part VII-Pro Forma'!C29</f>
        <v>-22212</v>
      </c>
      <c r="E14" s="1399">
        <f>'Part VII-Pro Forma'!D29</f>
        <v>-22329</v>
      </c>
      <c r="F14" s="1399">
        <f>'Part VII-Pro Forma'!E29</f>
        <v>-606</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342666.10909090907</v>
      </c>
      <c r="D15" s="799">
        <f t="shared" si="0"/>
        <v>342666.10909090907</v>
      </c>
      <c r="E15" s="799">
        <f t="shared" si="0"/>
        <v>342666.10909090907</v>
      </c>
      <c r="F15" s="799">
        <f t="shared" si="0"/>
        <v>342666.10909090907</v>
      </c>
      <c r="G15" s="799">
        <f t="shared" si="0"/>
        <v>342666.10909090907</v>
      </c>
      <c r="H15" s="799">
        <f t="shared" si="0"/>
        <v>342666.10909090907</v>
      </c>
      <c r="I15" s="799">
        <f t="shared" si="0"/>
        <v>342666.10909090907</v>
      </c>
      <c r="K15" s="785" t="e">
        <f>E44</f>
        <v>#VALUE!</v>
      </c>
      <c r="O15" s="790"/>
    </row>
    <row r="16" spans="1:15" ht="13.5" customHeight="1">
      <c r="A16" s="798" t="s">
        <v>3081</v>
      </c>
      <c r="C16" s="799">
        <f>IF(C$8&lt;=$H$4,($E$4/$H$4),0)+IF(C$8&lt;=$H$5,($E$5/$H$5),0)</f>
        <v>8634.6666666666661</v>
      </c>
      <c r="D16" s="799">
        <f t="shared" ref="D16:I16" si="1">IF(D$8&lt;=$H$4,($E$4/$H$4),0)+IF(D$8&lt;=$H$5,($E$5/$H$5),0)</f>
        <v>8634.6666666666661</v>
      </c>
      <c r="E16" s="799">
        <f t="shared" si="1"/>
        <v>8634.6666666666661</v>
      </c>
      <c r="F16" s="799">
        <f t="shared" si="1"/>
        <v>8634.6666666666661</v>
      </c>
      <c r="G16" s="799">
        <f t="shared" si="1"/>
        <v>8634.6666666666661</v>
      </c>
      <c r="H16" s="799">
        <f t="shared" si="1"/>
        <v>8634.6666666666661</v>
      </c>
      <c r="I16" s="799">
        <f t="shared" si="1"/>
        <v>8634.6666666666661</v>
      </c>
      <c r="K16" s="785" t="e">
        <f>F44</f>
        <v>#VALUE!</v>
      </c>
      <c r="M16" s="698" t="s">
        <v>3085</v>
      </c>
      <c r="O16" s="790">
        <f>E3</f>
        <v>9423318</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6853322.1818181816</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2569995.8181818184</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714000</v>
      </c>
      <c r="D21" s="800">
        <f t="shared" ref="D21:I21" si="5">C21</f>
        <v>714000</v>
      </c>
      <c r="E21" s="800">
        <f t="shared" si="5"/>
        <v>714000</v>
      </c>
      <c r="F21" s="800">
        <f t="shared" si="5"/>
        <v>714000</v>
      </c>
      <c r="G21" s="800">
        <f t="shared" si="5"/>
        <v>714000</v>
      </c>
      <c r="H21" s="800">
        <f t="shared" si="5"/>
        <v>714000</v>
      </c>
      <c r="I21" s="800">
        <f t="shared" si="5"/>
        <v>714000</v>
      </c>
      <c r="J21" s="698" t="s">
        <v>245</v>
      </c>
      <c r="K21" s="785" t="e">
        <f>D64</f>
        <v>#VALUE!</v>
      </c>
      <c r="O21" s="790"/>
    </row>
    <row r="22" spans="1:17" ht="13.5" customHeight="1">
      <c r="A22" s="698" t="s">
        <v>3088</v>
      </c>
      <c r="C22" s="800">
        <f>C21</f>
        <v>714000</v>
      </c>
      <c r="D22" s="800">
        <f t="shared" ref="D22:I22" si="6">D21</f>
        <v>714000</v>
      </c>
      <c r="E22" s="800">
        <f t="shared" si="6"/>
        <v>714000</v>
      </c>
      <c r="F22" s="800">
        <f t="shared" si="6"/>
        <v>714000</v>
      </c>
      <c r="G22" s="800">
        <f t="shared" si="6"/>
        <v>714000</v>
      </c>
      <c r="H22" s="800">
        <f t="shared" si="6"/>
        <v>714000</v>
      </c>
      <c r="I22" s="800">
        <f t="shared" si="6"/>
        <v>714000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2569995.8181818184</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-2569995.8181818184</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21679.150595724557</v>
      </c>
      <c r="D29" s="792">
        <f>'Part VII-Pro Forma'!J30</f>
        <v>21274.256919481497</v>
      </c>
      <c r="E29" s="792">
        <f>'Part VII-Pro Forma'!K30</f>
        <v>20767.700235883887</v>
      </c>
      <c r="F29" s="792">
        <f>'Part VII-Pro Forma'!B60</f>
        <v>20153.805930769842</v>
      </c>
      <c r="G29" s="792">
        <f>'Part VII-Pro Forma'!C60</f>
        <v>19428.721257073637</v>
      </c>
      <c r="H29" s="792">
        <f>'Part VII-Pro Forma'!D60</f>
        <v>18585.409232949474</v>
      </c>
      <c r="I29" s="792">
        <f>'Part VII-Pro Forma'!E60</f>
        <v>17619.642341679792</v>
      </c>
      <c r="N29" s="803"/>
      <c r="O29" s="803"/>
    </row>
    <row r="30" spans="1:17" ht="13.5" customHeight="1">
      <c r="A30" s="698" t="s">
        <v>3076</v>
      </c>
      <c r="C30" s="794">
        <f>'Part VII-Pro Forma'!H37-'Part VII-Pro Forma'!I37</f>
        <v>14502.825640516123</v>
      </c>
      <c r="D30" s="794">
        <f>'Part VII-Pro Forma'!I37-'Part VII-Pro Forma'!J37</f>
        <v>15435.67370263359</v>
      </c>
      <c r="E30" s="794">
        <f>'Part VII-Pro Forma'!J37-'Part VII-Pro Forma'!K37</f>
        <v>16428.524244858534</v>
      </c>
      <c r="F30" s="1396">
        <f>'Part VII-Pro Forma'!K37-'Part VII-Pro Forma'!B67</f>
        <v>17485.236735592247</v>
      </c>
      <c r="G30" s="1396">
        <f>'Part VII-Pro Forma'!B67-'Part VII-Pro Forma'!C67</f>
        <v>18609.918891247129</v>
      </c>
      <c r="H30" s="1396">
        <f>'Part VII-Pro Forma'!C67-'Part VII-Pro Forma'!D67</f>
        <v>19806.942644009134</v>
      </c>
      <c r="I30" s="1396">
        <f>'Part VII-Pro Forma'!D67-'Part VII-Pro Forma'!E67</f>
        <v>21080.961136675673</v>
      </c>
    </row>
    <row r="31" spans="1:17" ht="13.5" customHeight="1">
      <c r="A31" s="698" t="s">
        <v>3076</v>
      </c>
      <c r="C31" s="794">
        <f>'Part VII-Pro Forma'!H38-'Part VII-Pro Forma'!I38</f>
        <v>33922.907116667368</v>
      </c>
      <c r="D31" s="794">
        <f>'Part VII-Pro Forma'!I38-'Part VII-Pro Forma'!J38</f>
        <v>34607.619139660732</v>
      </c>
      <c r="E31" s="794">
        <f>'Part VII-Pro Forma'!J38-'Part VII-Pro Forma'!K38</f>
        <v>35306.151633665548</v>
      </c>
      <c r="F31" s="1396">
        <f>'Part VII-Pro Forma'!K38-'Part VII-Pro Forma'!B68</f>
        <v>36018.783555984497</v>
      </c>
      <c r="G31" s="1396">
        <f>'Part VII-Pro Forma'!B68-'Part VII-Pro Forma'!C68</f>
        <v>36745.79949449352</v>
      </c>
      <c r="H31" s="1396">
        <f>'Part VII-Pro Forma'!C68-'Part VII-Pro Forma'!D68</f>
        <v>37487.489781291573</v>
      </c>
      <c r="I31" s="1396">
        <f>'Part VII-Pro Forma'!D68-'Part VII-Pro Forma'!E68</f>
        <v>38244.150608643889</v>
      </c>
      <c r="K31" s="698" t="s">
        <v>245</v>
      </c>
      <c r="M31" s="698" t="s">
        <v>3095</v>
      </c>
      <c r="O31" s="792">
        <f>O25*O27</f>
        <v>-513999.16363636369</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-14758.48638509844</v>
      </c>
      <c r="D33" s="1399">
        <f>'Part VII-Pro Forma'!J21</f>
        <v>-15201.240976651392</v>
      </c>
      <c r="E33" s="1399">
        <f>'Part VII-Pro Forma'!K21</f>
        <v>-15657.278205950934</v>
      </c>
      <c r="F33" s="1399">
        <f>'Part VII-Pro Forma'!B51</f>
        <v>-16126.996552129462</v>
      </c>
      <c r="G33" s="1399">
        <f>'Part VII-Pro Forma'!C51</f>
        <v>-16610.806448693347</v>
      </c>
      <c r="H33" s="1399">
        <f>'Part VII-Pro Forma'!D51</f>
        <v>-17109.130642154145</v>
      </c>
      <c r="I33" s="1399">
        <f>'Part VII-Pro Forma'!E51</f>
        <v>-17622.404561418767</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342666.10909090907</v>
      </c>
      <c r="D35" s="799">
        <f t="shared" si="8"/>
        <v>342666.10909090907</v>
      </c>
      <c r="E35" s="799">
        <f t="shared" si="8"/>
        <v>342666.10909090907</v>
      </c>
      <c r="F35" s="799">
        <f t="shared" si="8"/>
        <v>342666.10909090907</v>
      </c>
      <c r="G35" s="799">
        <f t="shared" si="8"/>
        <v>342666.10909090907</v>
      </c>
      <c r="H35" s="799">
        <f t="shared" si="8"/>
        <v>342666.10909090907</v>
      </c>
      <c r="I35" s="799">
        <f t="shared" si="8"/>
        <v>342666.10909090907</v>
      </c>
    </row>
    <row r="36" spans="1:15" ht="13.5" customHeight="1">
      <c r="A36" s="798" t="s">
        <v>3081</v>
      </c>
      <c r="C36" s="792">
        <f>IF(C$28&lt;=$H$4,($E$4/$H$4),0)+IF(C$28&lt;=$H$5,($E$5/$H$5),0)</f>
        <v>8634.6666666666661</v>
      </c>
      <c r="D36" s="792">
        <f t="shared" ref="D36:I36" si="9">IF(D$28&lt;=$H$4,($E$4/$H$4),0)+IF(D$28&lt;=$H$5,($E$5/$H$5),0)</f>
        <v>8634.6666666666661</v>
      </c>
      <c r="E36" s="792">
        <f t="shared" si="9"/>
        <v>8634.6666666666661</v>
      </c>
      <c r="F36" s="792">
        <f t="shared" si="9"/>
        <v>8634.6666666666661</v>
      </c>
      <c r="G36" s="792">
        <f t="shared" si="9"/>
        <v>8634.6666666666661</v>
      </c>
      <c r="H36" s="792">
        <f t="shared" si="9"/>
        <v>8634.6666666666661</v>
      </c>
      <c r="I36" s="792">
        <f t="shared" si="9"/>
        <v>8634.6666666666661</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714000</v>
      </c>
      <c r="D41" s="800">
        <f>C41</f>
        <v>714000</v>
      </c>
      <c r="E41" s="800">
        <f>D41</f>
        <v>714000</v>
      </c>
      <c r="F41" s="800">
        <v>0</v>
      </c>
      <c r="G41" s="800">
        <v>0</v>
      </c>
      <c r="H41" s="800">
        <v>0</v>
      </c>
      <c r="I41" s="800">
        <v>0</v>
      </c>
    </row>
    <row r="42" spans="1:15" ht="13.5" customHeight="1">
      <c r="A42" s="698" t="s">
        <v>3088</v>
      </c>
      <c r="C42" s="800">
        <f>C22</f>
        <v>714000</v>
      </c>
      <c r="D42" s="800">
        <f>C42</f>
        <v>714000</v>
      </c>
      <c r="E42" s="800">
        <f>D42</f>
        <v>714000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16524.996027122146</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22436.926810632576</v>
      </c>
      <c r="D50" s="1397">
        <f>'Part VII-Pro Forma'!F67-'Part VII-Pro Forma'!G67</f>
        <v>23880.11065728229</v>
      </c>
      <c r="E50" s="1397">
        <f>'Part VII-Pro Forma'!G67-'Part VII-Pro Forma'!H67</f>
        <v>25416.12270775903</v>
      </c>
      <c r="F50" s="1397">
        <f>'Part VII-Pro Forma'!H67-'Part VII-Pro Forma'!I67</f>
        <v>27050.933840579819</v>
      </c>
      <c r="G50" s="1397">
        <f>'Part VII-Pro Forma'!I67-'Part VII-Pro Forma'!J67</f>
        <v>28790.898992002127</v>
      </c>
      <c r="H50" s="1397">
        <f>'Part VII-Pro Forma'!J67-'Part VII-Pro Forma'!K67</f>
        <v>30642.781859315815</v>
      </c>
    </row>
    <row r="51" spans="1:10" ht="13.5" customHeight="1">
      <c r="A51" s="698" t="s">
        <v>3076</v>
      </c>
      <c r="C51" s="1397">
        <f>'Part VII-Pro Forma'!E68-'Part VII-Pro Forma'!F68</f>
        <v>39016.084147265647</v>
      </c>
      <c r="D51" s="1397">
        <f>'Part VII-Pro Forma'!F68-'Part VII-Pro Forma'!G68</f>
        <v>39803.598666993435</v>
      </c>
      <c r="E51" s="1397">
        <f>'Part VII-Pro Forma'!G68-'Part VII-Pro Forma'!H68</f>
        <v>40607.008659891784</v>
      </c>
      <c r="F51" s="1397">
        <f>'Part VII-Pro Forma'!H68-'Part VII-Pro Forma'!I68</f>
        <v>41426.634965844918</v>
      </c>
      <c r="G51" s="1397">
        <f>'Part VII-Pro Forma'!I68-'Part VII-Pro Forma'!J68</f>
        <v>42262.80490068323</v>
      </c>
      <c r="H51" s="1397">
        <f>'Part VII-Pro Forma'!J68-'Part VII-Pro Forma'!K68</f>
        <v>43115.852386896673</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-18151.076698261331</v>
      </c>
      <c r="D53" s="1399">
        <f>'Part VII-Pro Forma'!G51</f>
        <v>-18695.608999209173</v>
      </c>
      <c r="E53" s="1399">
        <f>'Part VII-Pro Forma'!H51</f>
        <v>-19256.477269185445</v>
      </c>
      <c r="F53" s="1399">
        <f>'Part VII-Pro Forma'!I51</f>
        <v>-19834.171587261008</v>
      </c>
      <c r="G53" s="1399">
        <f>'Part VII-Pro Forma'!J51</f>
        <v>-20429.196734878838</v>
      </c>
      <c r="H53" s="1399">
        <f>'Part VII-Pro Forma'!K51</f>
        <v>-21042.072636925204</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342666.10909090907</v>
      </c>
      <c r="D55" s="799">
        <f t="shared" si="14"/>
        <v>342666.10909090907</v>
      </c>
      <c r="E55" s="799">
        <f t="shared" si="14"/>
        <v>342666.10909090907</v>
      </c>
      <c r="F55" s="799">
        <f t="shared" si="14"/>
        <v>342666.10909090907</v>
      </c>
      <c r="G55" s="799">
        <f t="shared" si="14"/>
        <v>342666.10909090907</v>
      </c>
      <c r="H55" s="799">
        <f t="shared" si="14"/>
        <v>342666.10909090907</v>
      </c>
    </row>
    <row r="56" spans="1:10" ht="13.5" customHeight="1">
      <c r="A56" s="798" t="s">
        <v>3081</v>
      </c>
      <c r="C56" s="792">
        <f t="shared" ref="C56:H56" si="15">IF(C$48&lt;=$H$4,($E$4/$H$4),0)+IF(C$48&lt;=$H$5,($E$5/$H$5),0)</f>
        <v>8634.6666666666661</v>
      </c>
      <c r="D56" s="792">
        <f t="shared" si="15"/>
        <v>1433.3333333333333</v>
      </c>
      <c r="E56" s="792">
        <f t="shared" si="15"/>
        <v>1433.3333333333333</v>
      </c>
      <c r="F56" s="792">
        <f t="shared" si="15"/>
        <v>1433.3333333333333</v>
      </c>
      <c r="G56" s="792">
        <f t="shared" si="15"/>
        <v>1433.3333333333333</v>
      </c>
      <c r="H56" s="792">
        <f t="shared" si="15"/>
        <v>1433.3333333333333</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headerFooter>
    <oddHeader>&amp;C&amp;"Arial,Bold"&amp;12After-Tax Analysis</oddHeader>
    <oddFooter>&amp;C&amp;9page &amp;P of &amp;N</oddFooter>
  </headerFooter>
  <colBreaks count="1" manualBreakCount="1">
    <brk id="9" max="1048575"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4.1" customHeight="1">
      <c r="A1" s="1640" t="str">
        <f>CONCATENATE("PART ONE - PROJECT INFORMATION"," - ",$O$6," ",$F$34,", ",'Part I-Project Information'!F38,", ",'Part I-Project Information'!J39," County")</f>
        <v>PART ONE - PROJECT INFORMATION - 2018-046 Abbington on Cheshire Bridge, Atlanta, Fulton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4518</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3897</v>
      </c>
    </row>
    <row r="6" spans="1:16" s="305" customFormat="1" ht="12" customHeight="1" thickBot="1">
      <c r="B6" s="1649" t="s">
        <v>4551</v>
      </c>
      <c r="C6" s="1649"/>
      <c r="D6" s="1649"/>
      <c r="E6" s="1433"/>
      <c r="F6" s="308"/>
      <c r="G6" s="279" t="s">
        <v>446</v>
      </c>
      <c r="H6" s="1571"/>
      <c r="I6" s="1571"/>
      <c r="J6" s="1571"/>
      <c r="O6" s="3581" t="s">
        <v>4742</v>
      </c>
      <c r="P6" s="3582"/>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35" customHeight="1">
      <c r="A9" s="307" t="s">
        <v>622</v>
      </c>
      <c r="B9" s="307" t="s">
        <v>2391</v>
      </c>
      <c r="D9" s="280"/>
      <c r="E9" s="309"/>
      <c r="F9" s="310" t="s">
        <v>3825</v>
      </c>
      <c r="I9" s="1643">
        <f>'Part IV-A-Uses of Funds'!$J$175</f>
        <v>714000</v>
      </c>
      <c r="J9" s="1644"/>
      <c r="L9" s="305" t="s">
        <v>3826</v>
      </c>
      <c r="O9" s="1645">
        <f>'Part III-Sources of Funds'!$E$11</f>
        <v>0</v>
      </c>
      <c r="P9" s="1646"/>
    </row>
    <row r="10" spans="1:16" s="305" customFormat="1" ht="6" customHeight="1">
      <c r="A10" s="307"/>
      <c r="B10" s="307"/>
      <c r="D10" s="280"/>
      <c r="E10" s="309"/>
      <c r="F10" s="309"/>
      <c r="I10" s="311"/>
      <c r="N10" s="312"/>
    </row>
    <row r="11" spans="1:16" s="305" customFormat="1" ht="13.35" customHeight="1">
      <c r="A11" s="311" t="s">
        <v>748</v>
      </c>
      <c r="B11" s="307" t="s">
        <v>2056</v>
      </c>
      <c r="F11" s="3583" t="s">
        <v>4553</v>
      </c>
      <c r="G11" s="3584"/>
      <c r="H11" s="3585"/>
      <c r="I11" s="3586" t="s">
        <v>3740</v>
      </c>
      <c r="J11" s="526" t="s">
        <v>3989</v>
      </c>
      <c r="K11" s="316"/>
      <c r="L11" s="1571"/>
      <c r="O11" s="3412" t="s">
        <v>2711</v>
      </c>
      <c r="P11" s="3413"/>
    </row>
    <row r="12" spans="1:16" s="305" customFormat="1" ht="12.75" customHeight="1">
      <c r="A12" s="501"/>
      <c r="B12" s="1648" t="s">
        <v>4519</v>
      </c>
      <c r="C12" s="1648"/>
      <c r="D12" s="1648"/>
      <c r="H12" s="1571"/>
      <c r="J12" s="527" t="s">
        <v>2752</v>
      </c>
      <c r="K12" s="277"/>
      <c r="M12" s="1571"/>
      <c r="O12" s="3587" t="s">
        <v>1784</v>
      </c>
      <c r="P12" s="3588"/>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9" t="s">
        <v>3014</v>
      </c>
      <c r="G14" s="1559" t="s">
        <v>3823</v>
      </c>
    </row>
    <row r="15" spans="1:16" s="305" customFormat="1" ht="12.75" customHeight="1">
      <c r="A15" s="501"/>
      <c r="B15" s="305" t="s">
        <v>3898</v>
      </c>
      <c r="D15" s="316"/>
      <c r="F15" s="3530"/>
      <c r="G15" s="3531"/>
      <c r="H15" s="3531"/>
      <c r="I15" s="3531"/>
      <c r="J15" s="3531"/>
      <c r="K15" s="3532"/>
      <c r="L15" s="305" t="s">
        <v>3822</v>
      </c>
      <c r="O15" s="3518"/>
      <c r="P15" s="3548"/>
    </row>
    <row r="16" spans="1:16" s="305" customFormat="1" ht="12.75" customHeight="1">
      <c r="A16" s="501"/>
      <c r="B16" s="305" t="s">
        <v>3824</v>
      </c>
      <c r="F16" s="3589"/>
      <c r="G16" s="305" t="s">
        <v>3881</v>
      </c>
      <c r="H16" s="1571"/>
      <c r="I16" s="179"/>
      <c r="J16" s="527"/>
      <c r="M16" s="3187" t="s">
        <v>2904</v>
      </c>
      <c r="N16" s="3188"/>
      <c r="O16" s="3188"/>
      <c r="P16" s="3189"/>
    </row>
    <row r="17" spans="1:16" s="305" customFormat="1" ht="6" customHeight="1">
      <c r="I17" s="280"/>
      <c r="J17" s="280"/>
      <c r="K17" s="280"/>
      <c r="L17" s="280"/>
      <c r="M17" s="280"/>
      <c r="N17" s="280"/>
      <c r="O17" s="280"/>
      <c r="P17" s="280"/>
    </row>
    <row r="18" spans="1:16" s="305" customFormat="1" ht="13.3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35" customHeight="1">
      <c r="B20" s="305" t="s">
        <v>3909</v>
      </c>
      <c r="F20" s="3590" t="s">
        <v>4555</v>
      </c>
      <c r="G20" s="3591"/>
      <c r="H20" s="3592"/>
      <c r="I20" s="305" t="s">
        <v>1810</v>
      </c>
      <c r="J20" s="3590" t="s">
        <v>4554</v>
      </c>
      <c r="K20" s="3591"/>
      <c r="L20" s="3592"/>
      <c r="M20" s="340" t="s">
        <v>1996</v>
      </c>
      <c r="N20" s="3518" t="s">
        <v>2490</v>
      </c>
      <c r="O20" s="3547"/>
      <c r="P20" s="3548"/>
    </row>
    <row r="21" spans="1:16" s="305" customFormat="1" ht="13.35" customHeight="1">
      <c r="B21" s="310" t="s">
        <v>1997</v>
      </c>
      <c r="F21" s="3593" t="s">
        <v>4556</v>
      </c>
      <c r="G21" s="3594"/>
      <c r="H21" s="3594"/>
      <c r="I21" s="3595"/>
      <c r="J21" s="3594"/>
      <c r="K21" s="3595"/>
      <c r="L21" s="3596"/>
      <c r="M21" s="1638" t="s">
        <v>3908</v>
      </c>
      <c r="N21" s="1639"/>
      <c r="O21" s="1639"/>
      <c r="P21" s="1639"/>
    </row>
    <row r="22" spans="1:16" s="305" customFormat="1" ht="13.35" customHeight="1">
      <c r="B22" s="310" t="s">
        <v>624</v>
      </c>
      <c r="F22" s="3593" t="s">
        <v>1217</v>
      </c>
      <c r="G22" s="3594"/>
      <c r="H22" s="3597"/>
      <c r="I22" s="310" t="s">
        <v>1812</v>
      </c>
      <c r="J22" s="3598" t="s">
        <v>856</v>
      </c>
      <c r="M22" s="1638"/>
      <c r="N22" s="1638"/>
      <c r="O22" s="1638"/>
      <c r="P22" s="1638"/>
    </row>
    <row r="23" spans="1:16" s="305" customFormat="1" ht="13.35" customHeight="1">
      <c r="B23" s="1559" t="s">
        <v>2245</v>
      </c>
      <c r="F23" s="3599">
        <v>303052119</v>
      </c>
      <c r="G23" s="3600"/>
      <c r="H23" s="3601"/>
      <c r="I23" s="310" t="s">
        <v>1733</v>
      </c>
      <c r="J23" s="3602">
        <v>4042504093</v>
      </c>
      <c r="K23" s="3603"/>
      <c r="L23" s="1561" t="s">
        <v>1732</v>
      </c>
      <c r="M23" s="3446">
        <v>703</v>
      </c>
      <c r="N23" s="1559" t="s">
        <v>1734</v>
      </c>
      <c r="O23" s="3604"/>
      <c r="P23" s="3603"/>
    </row>
    <row r="24" spans="1:16" s="305" customFormat="1" ht="13.35" customHeight="1">
      <c r="B24" s="1559" t="s">
        <v>2000</v>
      </c>
      <c r="F24" s="3605" t="s">
        <v>4557</v>
      </c>
      <c r="G24" s="3606"/>
      <c r="H24" s="3606"/>
      <c r="I24" s="3547"/>
      <c r="J24" s="3606"/>
      <c r="K24" s="3607"/>
      <c r="N24" s="1559" t="s">
        <v>1995</v>
      </c>
      <c r="O24" s="3608">
        <v>4042731892</v>
      </c>
      <c r="P24" s="3609"/>
    </row>
    <row r="25" spans="1:16" s="305" customFormat="1" ht="13.5" customHeight="1">
      <c r="A25" s="501"/>
      <c r="B25" s="307" t="s">
        <v>4537</v>
      </c>
      <c r="C25" s="314"/>
      <c r="D25" s="1570"/>
      <c r="E25" s="1570"/>
      <c r="F25" s="1570"/>
      <c r="H25" s="1571"/>
      <c r="I25" s="1570"/>
      <c r="J25" s="314"/>
      <c r="K25" s="1570"/>
      <c r="P25" s="315"/>
    </row>
    <row r="26" spans="1:16" s="305" customFormat="1" ht="13.35" customHeight="1">
      <c r="B26" s="305" t="s">
        <v>3909</v>
      </c>
      <c r="F26" s="3590" t="s">
        <v>4555</v>
      </c>
      <c r="G26" s="3591"/>
      <c r="H26" s="3592"/>
      <c r="I26" s="305" t="s">
        <v>1810</v>
      </c>
      <c r="J26" s="3590" t="s">
        <v>4558</v>
      </c>
      <c r="K26" s="3591"/>
      <c r="L26" s="3592"/>
      <c r="M26" s="340" t="s">
        <v>1996</v>
      </c>
      <c r="N26" s="3518" t="s">
        <v>4559</v>
      </c>
      <c r="O26" s="3547"/>
      <c r="P26" s="3548"/>
    </row>
    <row r="27" spans="1:16" s="305" customFormat="1" ht="13.35" customHeight="1">
      <c r="B27" s="310" t="s">
        <v>1997</v>
      </c>
      <c r="F27" s="3593" t="s">
        <v>4560</v>
      </c>
      <c r="G27" s="3594"/>
      <c r="H27" s="3594"/>
      <c r="I27" s="3595"/>
      <c r="J27" s="3594"/>
      <c r="K27" s="3595"/>
      <c r="L27" s="3596"/>
      <c r="M27" s="1638" t="s">
        <v>3908</v>
      </c>
      <c r="N27" s="1639"/>
      <c r="O27" s="1639"/>
      <c r="P27" s="1639"/>
    </row>
    <row r="28" spans="1:16" s="305" customFormat="1" ht="13.35" customHeight="1">
      <c r="B28" s="310" t="s">
        <v>624</v>
      </c>
      <c r="F28" s="3593" t="s">
        <v>1217</v>
      </c>
      <c r="G28" s="3594"/>
      <c r="H28" s="3597"/>
      <c r="I28" s="310" t="s">
        <v>1812</v>
      </c>
      <c r="J28" s="3598" t="s">
        <v>856</v>
      </c>
      <c r="M28" s="1638"/>
      <c r="N28" s="1638"/>
      <c r="O28" s="1638"/>
      <c r="P28" s="1638"/>
    </row>
    <row r="29" spans="1:16" s="305" customFormat="1" ht="13.35" customHeight="1">
      <c r="B29" s="1559" t="s">
        <v>2245</v>
      </c>
      <c r="F29" s="3599">
        <v>303052119</v>
      </c>
      <c r="G29" s="3600"/>
      <c r="H29" s="3601"/>
      <c r="I29" s="310" t="s">
        <v>1733</v>
      </c>
      <c r="J29" s="3602">
        <v>4042504093</v>
      </c>
      <c r="K29" s="3603"/>
      <c r="L29" s="1561" t="s">
        <v>1732</v>
      </c>
      <c r="M29" s="3446">
        <v>704</v>
      </c>
      <c r="N29" s="1559" t="s">
        <v>1734</v>
      </c>
      <c r="O29" s="3604"/>
      <c r="P29" s="3603"/>
    </row>
    <row r="30" spans="1:16" s="305" customFormat="1" ht="13.35" customHeight="1">
      <c r="B30" s="1559" t="s">
        <v>2000</v>
      </c>
      <c r="F30" s="3605" t="s">
        <v>4561</v>
      </c>
      <c r="G30" s="3606"/>
      <c r="H30" s="3606"/>
      <c r="I30" s="3547"/>
      <c r="J30" s="3606"/>
      <c r="K30" s="3607"/>
      <c r="N30" s="1559" t="s">
        <v>1995</v>
      </c>
      <c r="O30" s="3608">
        <v>6785917002</v>
      </c>
      <c r="P30" s="3609"/>
    </row>
    <row r="31" spans="1:16" s="305" customFormat="1" ht="6" customHeight="1">
      <c r="A31" s="501"/>
      <c r="B31" s="501"/>
      <c r="C31" s="314"/>
      <c r="D31" s="1570"/>
      <c r="E31" s="1570"/>
      <c r="F31" s="1570"/>
      <c r="H31" s="1571"/>
      <c r="I31" s="1570"/>
      <c r="J31" s="314"/>
      <c r="K31" s="1570"/>
      <c r="P31" s="315"/>
    </row>
    <row r="32" spans="1:16" s="305" customFormat="1" ht="13.3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623</v>
      </c>
      <c r="D34" s="316"/>
      <c r="F34" s="3610" t="s">
        <v>4562</v>
      </c>
      <c r="G34" s="3611"/>
      <c r="H34" s="3611"/>
      <c r="I34" s="3611"/>
      <c r="J34" s="3611"/>
      <c r="K34" s="3612"/>
      <c r="L34" s="1559" t="s">
        <v>2208</v>
      </c>
      <c r="O34" s="3590" t="s">
        <v>3014</v>
      </c>
      <c r="P34" s="3592"/>
    </row>
    <row r="35" spans="1:16" s="305" customFormat="1" ht="13.35" customHeight="1">
      <c r="A35" s="317"/>
      <c r="B35" s="305" t="s">
        <v>2717</v>
      </c>
      <c r="D35" s="318"/>
      <c r="F35" s="3613" t="s">
        <v>4563</v>
      </c>
      <c r="G35" s="3614"/>
      <c r="H35" s="3614"/>
      <c r="I35" s="3614"/>
      <c r="J35" s="3614"/>
      <c r="K35" s="3615"/>
      <c r="L35" s="305" t="s">
        <v>3708</v>
      </c>
      <c r="O35" s="3616"/>
      <c r="P35" s="3597"/>
    </row>
    <row r="36" spans="1:16" s="305" customFormat="1" ht="13.35" customHeight="1">
      <c r="A36" s="317"/>
      <c r="B36" s="305" t="s">
        <v>2753</v>
      </c>
      <c r="D36" s="318"/>
      <c r="F36" s="3616"/>
      <c r="G36" s="3594"/>
      <c r="H36" s="3594"/>
      <c r="I36" s="3595"/>
      <c r="J36" s="3594"/>
      <c r="K36" s="3597"/>
      <c r="L36" s="1559" t="s">
        <v>2066</v>
      </c>
      <c r="N36" s="3446" t="s">
        <v>3014</v>
      </c>
      <c r="O36" s="1571" t="s">
        <v>3707</v>
      </c>
      <c r="P36" s="3431"/>
    </row>
    <row r="37" spans="1:16" s="305" customFormat="1" ht="13.35" customHeight="1">
      <c r="A37" s="317"/>
      <c r="B37" s="305" t="s">
        <v>3762</v>
      </c>
      <c r="D37" s="318"/>
      <c r="F37" s="305" t="s">
        <v>3742</v>
      </c>
      <c r="G37" s="3617">
        <v>33.812044999999998</v>
      </c>
      <c r="H37" s="3618"/>
      <c r="I37" s="1561" t="s">
        <v>3743</v>
      </c>
      <c r="J37" s="3617">
        <v>-84.355362999999997</v>
      </c>
      <c r="K37" s="3618"/>
      <c r="L37" s="1559" t="s">
        <v>2299</v>
      </c>
      <c r="O37" s="3619">
        <v>1.79</v>
      </c>
      <c r="P37" s="3620"/>
    </row>
    <row r="38" spans="1:16" s="305" customFormat="1" ht="13.35" customHeight="1">
      <c r="A38" s="501"/>
      <c r="B38" s="305" t="s">
        <v>624</v>
      </c>
      <c r="F38" s="3590" t="s">
        <v>1217</v>
      </c>
      <c r="G38" s="3621"/>
      <c r="H38" s="3622"/>
      <c r="I38" s="322" t="s">
        <v>2718</v>
      </c>
      <c r="J38" s="3599">
        <v>303244242</v>
      </c>
      <c r="K38" s="3601"/>
      <c r="L38" s="380" t="str">
        <f>IF(AND(NOT(F34=""),NOT(F38="Select from list"),J38=""),"Enter Zip!","")</f>
        <v/>
      </c>
      <c r="M38" s="320" t="s">
        <v>2926</v>
      </c>
      <c r="O38" s="3623" t="s">
        <v>4565</v>
      </c>
      <c r="P38" s="3624"/>
    </row>
    <row r="39" spans="1:16" s="305" customFormat="1" ht="13.35" customHeight="1">
      <c r="A39" s="501"/>
      <c r="B39" s="1570" t="s">
        <v>3592</v>
      </c>
      <c r="D39" s="1570"/>
      <c r="F39" s="3616" t="s">
        <v>4564</v>
      </c>
      <c r="G39" s="3595"/>
      <c r="H39" s="3596"/>
      <c r="I39" s="319" t="s">
        <v>625</v>
      </c>
      <c r="J39" s="3625" t="str">
        <f>IF($F$38="","",VLOOKUP($F$38,'DCA Underwriting Assumptions'!$T$155:$U$785,2,FALSE))</f>
        <v>Fulton</v>
      </c>
      <c r="K39" s="3626"/>
      <c r="M39" s="1559" t="s">
        <v>455</v>
      </c>
      <c r="N39" s="3627" t="s">
        <v>3011</v>
      </c>
      <c r="O39" s="1571" t="s">
        <v>456</v>
      </c>
      <c r="P39" s="3628" t="s">
        <v>3014</v>
      </c>
    </row>
    <row r="40" spans="1:16" s="305" customFormat="1" ht="13.35" customHeight="1">
      <c r="A40" s="501"/>
      <c r="B40" s="307"/>
      <c r="C40" s="305" t="s">
        <v>1570</v>
      </c>
      <c r="F40" s="3629" t="s">
        <v>3014</v>
      </c>
      <c r="G40" s="1634" t="s">
        <v>2800</v>
      </c>
      <c r="H40" s="1635"/>
      <c r="I40" s="533" t="str">
        <f>IF($J$39="","",IF(VLOOKUP($J$39,'DCA Underwriting Assumptions'!G155:M314,7,FALSE)="Rural","Yes",IF(VLOOKUP($J$39,'DCA Underwriting Assumptions'!G155:M314,7,FALSE)="Urban","No","")))</f>
        <v>No</v>
      </c>
      <c r="J40" s="1561" t="s">
        <v>2820</v>
      </c>
      <c r="K40" s="1561" t="str">
        <f>IF(OR(F40="Yes",I40="Yes"),"Rural","Urban")</f>
        <v>Urban</v>
      </c>
      <c r="M40" s="1559" t="s">
        <v>2628</v>
      </c>
      <c r="N40" s="436" t="str">
        <f>VLOOKUP($J$39,'DCA Underwriting Assumptions'!$G$155:$J$314,4)</f>
        <v>MSA</v>
      </c>
      <c r="O40" s="3630" t="str">
        <f>IF($F$38="","",VLOOKUP($J$39,'DCA Underwriting Assumptions'!$G$155:$L$314,3,FALSE))</f>
        <v>Atlanta-Sandy Springs-Marietta</v>
      </c>
      <c r="P40" s="3631"/>
    </row>
    <row r="41" spans="1:16" s="305" customFormat="1" ht="6" customHeight="1">
      <c r="A41" s="501"/>
      <c r="B41" s="307"/>
      <c r="C41" s="307"/>
      <c r="I41" s="310"/>
      <c r="J41" s="1570"/>
      <c r="L41" s="1580"/>
      <c r="M41" s="1580"/>
      <c r="N41" s="1580"/>
      <c r="O41" s="1580"/>
      <c r="P41" s="1580"/>
    </row>
    <row r="42" spans="1:16" s="305" customFormat="1" ht="13.35" customHeight="1">
      <c r="A42" s="501"/>
      <c r="C42" s="305" t="s">
        <v>2762</v>
      </c>
      <c r="F42" s="1636" t="s">
        <v>2781</v>
      </c>
      <c r="G42" s="1636"/>
      <c r="H42" s="1637" t="s">
        <v>744</v>
      </c>
      <c r="I42" s="1637"/>
      <c r="J42" s="1637" t="s">
        <v>745</v>
      </c>
      <c r="K42" s="1637"/>
      <c r="L42" s="520" t="s">
        <v>2719</v>
      </c>
    </row>
    <row r="43" spans="1:16" s="305" customFormat="1" ht="13.35" customHeight="1">
      <c r="A43" s="501"/>
      <c r="B43" s="305" t="s">
        <v>2780</v>
      </c>
      <c r="D43" s="307"/>
      <c r="F43" s="3632">
        <v>5</v>
      </c>
      <c r="G43" s="3633"/>
      <c r="H43" s="3632">
        <v>36</v>
      </c>
      <c r="I43" s="3633"/>
      <c r="J43" s="3632">
        <v>57</v>
      </c>
      <c r="K43" s="3633"/>
      <c r="L43" s="516" t="s">
        <v>1295</v>
      </c>
      <c r="N43" s="1632" t="s">
        <v>1296</v>
      </c>
      <c r="O43" s="1632"/>
      <c r="P43" s="1632"/>
    </row>
    <row r="44" spans="1:16" s="305" customFormat="1" ht="12.75" customHeight="1">
      <c r="A44" s="501"/>
      <c r="B44" s="310" t="s">
        <v>746</v>
      </c>
      <c r="F44" s="3634"/>
      <c r="G44" s="3635"/>
      <c r="H44" s="3634"/>
      <c r="I44" s="3635"/>
      <c r="J44" s="3634"/>
      <c r="K44" s="3635"/>
      <c r="L44" s="516" t="s">
        <v>2779</v>
      </c>
      <c r="N44" s="1633" t="s">
        <v>2778</v>
      </c>
      <c r="O44" s="1633"/>
    </row>
    <row r="45" spans="1:16" s="305" customFormat="1" ht="3" customHeight="1">
      <c r="A45" s="501"/>
      <c r="I45" s="1580"/>
      <c r="J45" s="1580"/>
      <c r="K45" s="1580"/>
      <c r="L45" s="1570"/>
      <c r="M45" s="1570"/>
      <c r="N45" s="1570"/>
      <c r="O45" s="1570"/>
      <c r="P45" s="1570"/>
    </row>
    <row r="46" spans="1:16" s="305" customFormat="1" ht="13.35" customHeight="1">
      <c r="A46" s="501"/>
      <c r="B46" s="307" t="s">
        <v>643</v>
      </c>
      <c r="F46" s="3636" t="s">
        <v>3687</v>
      </c>
      <c r="G46" s="3637"/>
      <c r="H46" s="3637"/>
      <c r="I46" s="3638"/>
      <c r="J46" s="3637"/>
      <c r="K46" s="3639"/>
      <c r="L46" s="930" t="s">
        <v>2723</v>
      </c>
      <c r="M46" s="3518" t="s">
        <v>4568</v>
      </c>
      <c r="N46" s="3547"/>
      <c r="O46" s="3547"/>
      <c r="P46" s="3548"/>
    </row>
    <row r="47" spans="1:16" s="305" customFormat="1" ht="13.35" customHeight="1">
      <c r="A47" s="501"/>
      <c r="B47" s="305" t="s">
        <v>644</v>
      </c>
      <c r="F47" s="3640" t="s">
        <v>4566</v>
      </c>
      <c r="G47" s="3641"/>
      <c r="H47" s="3642"/>
      <c r="I47" s="1562" t="s">
        <v>1996</v>
      </c>
      <c r="J47" s="3613" t="s">
        <v>4567</v>
      </c>
      <c r="K47" s="3615"/>
      <c r="L47" s="930"/>
    </row>
    <row r="48" spans="1:16" s="305" customFormat="1" ht="13.35" customHeight="1">
      <c r="A48" s="501"/>
      <c r="B48" s="305" t="s">
        <v>1997</v>
      </c>
      <c r="F48" s="3643" t="s">
        <v>4569</v>
      </c>
      <c r="G48" s="3644"/>
      <c r="H48" s="3645"/>
      <c r="I48" s="3637"/>
      <c r="J48" s="3644"/>
      <c r="K48" s="3646"/>
      <c r="L48" s="341" t="s">
        <v>624</v>
      </c>
      <c r="M48" s="3647" t="s">
        <v>1217</v>
      </c>
      <c r="N48" s="3648"/>
      <c r="O48" s="3648"/>
      <c r="P48" s="3649"/>
    </row>
    <row r="49" spans="1:19" s="305" customFormat="1" ht="13.35" customHeight="1">
      <c r="A49" s="501"/>
      <c r="B49" s="1559" t="s">
        <v>2245</v>
      </c>
      <c r="F49" s="3650">
        <v>303030000</v>
      </c>
      <c r="G49" s="3651"/>
      <c r="H49" s="1561" t="s">
        <v>1998</v>
      </c>
      <c r="I49" s="3652">
        <v>4043306026</v>
      </c>
      <c r="J49" s="3653"/>
      <c r="K49" s="3654"/>
      <c r="L49" s="310" t="s">
        <v>1813</v>
      </c>
      <c r="M49" s="3655"/>
      <c r="N49" s="3656"/>
      <c r="O49" s="3656"/>
      <c r="P49" s="3657"/>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35" customHeight="1">
      <c r="B55" s="501"/>
      <c r="C55" s="305" t="s">
        <v>2311</v>
      </c>
      <c r="D55" s="305"/>
      <c r="E55" s="305"/>
      <c r="H55" s="1170">
        <f>'Part VI-Revenues &amp; Expenses'!$O$74</f>
        <v>48</v>
      </c>
      <c r="K55" s="310" t="s">
        <v>3699</v>
      </c>
      <c r="L55" s="305"/>
      <c r="M55" s="991" t="s">
        <v>3698</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35" customHeight="1">
      <c r="B57" s="501"/>
      <c r="C57" s="310" t="s">
        <v>348</v>
      </c>
      <c r="D57" s="1570"/>
      <c r="H57" s="1172">
        <f>'Part VI-Revenues &amp; Expenses'!$O$77</f>
        <v>0</v>
      </c>
      <c r="I57" s="502" t="s">
        <v>2931</v>
      </c>
      <c r="K57" s="305" t="s">
        <v>350</v>
      </c>
      <c r="P57" s="3658" t="s">
        <v>3188</v>
      </c>
      <c r="Q57" s="1571"/>
    </row>
    <row r="58" spans="1:19" s="305" customFormat="1" ht="3.6" customHeight="1">
      <c r="A58" s="501"/>
      <c r="P58" s="1570"/>
    </row>
    <row r="59" spans="1:19" s="305" customFormat="1">
      <c r="A59" s="501"/>
      <c r="B59" s="501" t="s">
        <v>2001</v>
      </c>
      <c r="C59" s="307" t="s">
        <v>2312</v>
      </c>
      <c r="H59" s="3659" t="s">
        <v>3011</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3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35" customHeight="1">
      <c r="A62" s="501"/>
      <c r="B62" s="1560"/>
      <c r="C62" s="314" t="s">
        <v>2293</v>
      </c>
      <c r="D62" s="1570"/>
      <c r="E62" s="1570"/>
      <c r="H62" s="679">
        <f>SUM(H63:H64)</f>
        <v>40</v>
      </c>
      <c r="I62" s="679">
        <f>SUM(I63:I64)</f>
        <v>0</v>
      </c>
      <c r="J62" s="501"/>
      <c r="K62" s="314" t="s">
        <v>2792</v>
      </c>
      <c r="M62" s="1570"/>
      <c r="N62" s="1570"/>
      <c r="O62" s="1570"/>
      <c r="P62" s="897">
        <f>'Part VI-Revenues &amp; Expenses'!$O$115</f>
        <v>41276</v>
      </c>
    </row>
    <row r="63" spans="1:19" s="305" customFormat="1" ht="13.35" customHeight="1">
      <c r="A63" s="501"/>
      <c r="B63" s="324"/>
      <c r="D63" s="329" t="s">
        <v>387</v>
      </c>
      <c r="E63" s="1570"/>
      <c r="H63" s="897">
        <f>'Part VI-Revenues &amp; Expenses'!$O$57</f>
        <v>12</v>
      </c>
      <c r="I63" s="897">
        <f>'Part VI-Revenues &amp; Expenses'!$O$65</f>
        <v>0</v>
      </c>
      <c r="K63" s="314" t="s">
        <v>2793</v>
      </c>
      <c r="M63" s="1570"/>
      <c r="N63" s="1570"/>
      <c r="O63" s="1570"/>
      <c r="P63" s="1173">
        <f>'Part VI-Revenues &amp; Expenses'!$O$116</f>
        <v>8638</v>
      </c>
    </row>
    <row r="64" spans="1:19" s="305" customFormat="1" ht="13.35" customHeight="1">
      <c r="A64" s="501"/>
      <c r="D64" s="329" t="s">
        <v>1835</v>
      </c>
      <c r="E64" s="329"/>
      <c r="H64" s="898">
        <f>'Part VI-Revenues &amp; Expenses'!$O$56</f>
        <v>28</v>
      </c>
      <c r="I64" s="898">
        <f>'Part VI-Revenues &amp; Expenses'!$O$64</f>
        <v>0</v>
      </c>
      <c r="K64" s="314" t="s">
        <v>2794</v>
      </c>
      <c r="M64" s="1570"/>
      <c r="N64" s="1570"/>
      <c r="O64" s="1570"/>
      <c r="P64" s="897">
        <f>P62+P63</f>
        <v>49914</v>
      </c>
    </row>
    <row r="65" spans="1:16" s="305" customFormat="1" ht="13.35" customHeight="1">
      <c r="A65" s="501"/>
      <c r="C65" s="314" t="s">
        <v>255</v>
      </c>
      <c r="D65" s="1570"/>
      <c r="E65" s="1570"/>
      <c r="H65" s="328">
        <f>'Part VI-Revenues &amp; Expenses'!$O$59</f>
        <v>8</v>
      </c>
      <c r="J65" s="501"/>
      <c r="K65" s="314" t="s">
        <v>2795</v>
      </c>
      <c r="M65" s="1570"/>
      <c r="N65" s="1570"/>
      <c r="O65" s="1570"/>
      <c r="P65" s="898">
        <f>'Part VI-Revenues &amp; Expenses'!$O$118</f>
        <v>0</v>
      </c>
    </row>
    <row r="66" spans="1:16" s="305" customFormat="1" ht="13.35" customHeight="1">
      <c r="A66" s="501"/>
      <c r="C66" s="314" t="s">
        <v>2423</v>
      </c>
      <c r="D66" s="1570"/>
      <c r="E66" s="1570"/>
      <c r="H66" s="897">
        <f>H62+H65</f>
        <v>48</v>
      </c>
      <c r="J66" s="501"/>
      <c r="K66" s="314" t="s">
        <v>1432</v>
      </c>
      <c r="M66" s="1570"/>
      <c r="N66" s="1570"/>
      <c r="O66" s="1570"/>
      <c r="P66" s="328">
        <f>+P64+P65</f>
        <v>49914</v>
      </c>
    </row>
    <row r="67" spans="1:16" s="305" customFormat="1" ht="13.35" customHeight="1">
      <c r="A67" s="501"/>
      <c r="C67" s="314" t="s">
        <v>2424</v>
      </c>
      <c r="D67" s="1570"/>
      <c r="E67" s="1570"/>
      <c r="H67" s="898">
        <f>'Part VI-Revenues &amp; Expenses'!$O$61</f>
        <v>0</v>
      </c>
      <c r="J67" s="501"/>
    </row>
    <row r="68" spans="1:16" s="305" customFormat="1" ht="13.35" customHeight="1">
      <c r="A68" s="501"/>
      <c r="C68" s="314" t="s">
        <v>1806</v>
      </c>
      <c r="D68" s="1570"/>
      <c r="E68" s="1570"/>
      <c r="H68" s="328">
        <f>+H66+H67</f>
        <v>48</v>
      </c>
      <c r="J68" s="1570"/>
    </row>
    <row r="69" spans="1:16" s="305" customFormat="1" ht="3" customHeight="1">
      <c r="A69" s="501"/>
      <c r="I69" s="1571"/>
      <c r="L69" s="1571"/>
      <c r="M69" s="1571"/>
      <c r="N69" s="1570"/>
      <c r="P69" s="315"/>
    </row>
    <row r="70" spans="1:16" s="305" customFormat="1" ht="13.35" customHeight="1">
      <c r="A70" s="501"/>
      <c r="B70" s="501" t="s">
        <v>1748</v>
      </c>
      <c r="C70" s="316" t="s">
        <v>2313</v>
      </c>
      <c r="D70" s="329" t="s">
        <v>2012</v>
      </c>
      <c r="G70" s="1570"/>
      <c r="H70" s="3660">
        <v>1</v>
      </c>
      <c r="K70" s="314" t="s">
        <v>4101</v>
      </c>
      <c r="O70" s="1570"/>
      <c r="P70" s="3661">
        <v>7487</v>
      </c>
    </row>
    <row r="71" spans="1:16" s="305" customFormat="1" ht="13.35" customHeight="1">
      <c r="A71" s="501"/>
      <c r="B71" s="501"/>
      <c r="D71" s="1560" t="s">
        <v>2013</v>
      </c>
      <c r="H71" s="3662">
        <v>0</v>
      </c>
      <c r="I71" s="1570"/>
      <c r="K71" s="314" t="s">
        <v>254</v>
      </c>
      <c r="O71" s="1570"/>
      <c r="P71" s="328">
        <f>+P66+P70</f>
        <v>57401</v>
      </c>
    </row>
    <row r="72" spans="1:16" s="305" customFormat="1" ht="13.35" customHeight="1">
      <c r="A72" s="501"/>
      <c r="B72" s="501"/>
      <c r="D72" s="1560" t="s">
        <v>2014</v>
      </c>
      <c r="H72" s="328">
        <f>+H70+H71</f>
        <v>1</v>
      </c>
      <c r="I72" s="1570"/>
    </row>
    <row r="73" spans="1:16" s="305" customFormat="1" ht="3" customHeight="1">
      <c r="A73" s="501"/>
      <c r="B73" s="501"/>
      <c r="C73" s="1570"/>
      <c r="D73" s="1570"/>
      <c r="E73" s="1570"/>
      <c r="F73" s="1570"/>
      <c r="G73" s="1571"/>
      <c r="I73" s="314"/>
      <c r="J73" s="1570"/>
      <c r="P73" s="315"/>
    </row>
    <row r="74" spans="1:16" s="305" customFormat="1" ht="13.35" customHeight="1">
      <c r="A74" s="501"/>
      <c r="B74" s="501" t="s">
        <v>1749</v>
      </c>
      <c r="C74" s="316" t="s">
        <v>2861</v>
      </c>
      <c r="D74" s="1570"/>
      <c r="E74" s="1570"/>
      <c r="F74" s="1570"/>
      <c r="G74" s="1570"/>
      <c r="H74" s="3661">
        <v>48</v>
      </c>
      <c r="K74" s="1631" t="s">
        <v>3882</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3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35" customHeight="1">
      <c r="A78" s="501"/>
      <c r="B78" s="501" t="s">
        <v>1999</v>
      </c>
      <c r="C78" s="277" t="s">
        <v>2709</v>
      </c>
      <c r="D78" s="1563"/>
      <c r="E78" s="1563"/>
      <c r="F78" s="1570"/>
      <c r="G78" s="1571"/>
      <c r="H78" s="3663" t="s">
        <v>2932</v>
      </c>
      <c r="I78" s="3664"/>
      <c r="K78" s="1620" t="s">
        <v>1785</v>
      </c>
      <c r="L78" s="1620"/>
      <c r="M78" s="3518"/>
      <c r="N78" s="3547"/>
      <c r="O78" s="3547"/>
      <c r="P78" s="3548"/>
    </row>
    <row r="79" spans="1:16" s="305" customFormat="1" ht="3" customHeight="1">
      <c r="A79" s="501"/>
      <c r="B79" s="501"/>
      <c r="D79" s="1560"/>
      <c r="E79" s="1560"/>
      <c r="F79" s="1560"/>
      <c r="G79" s="1560"/>
      <c r="I79" s="1571"/>
      <c r="K79" s="1559"/>
      <c r="L79" s="1559"/>
      <c r="M79" s="1571"/>
      <c r="N79" s="1570"/>
      <c r="P79" s="315"/>
    </row>
    <row r="80" spans="1:16" s="305" customFormat="1" ht="13.35" customHeight="1">
      <c r="A80" s="501"/>
      <c r="B80" s="501"/>
      <c r="E80" s="1563"/>
      <c r="H80" s="1630" t="s">
        <v>3903</v>
      </c>
      <c r="I80" s="1630"/>
      <c r="K80" s="331" t="s">
        <v>2932</v>
      </c>
      <c r="L80" s="3660">
        <v>48</v>
      </c>
      <c r="M80" s="331" t="s">
        <v>2933</v>
      </c>
      <c r="N80" s="3660"/>
      <c r="P80" s="318" t="s">
        <v>3905</v>
      </c>
    </row>
    <row r="81" spans="1:16" s="305" customFormat="1" ht="13.35" customHeight="1">
      <c r="A81" s="501"/>
      <c r="B81" s="501"/>
      <c r="D81" s="1559"/>
      <c r="E81" s="1563"/>
      <c r="H81" s="1630"/>
      <c r="I81" s="1630"/>
      <c r="K81" s="318" t="s">
        <v>2934</v>
      </c>
      <c r="L81" s="3662"/>
      <c r="M81" s="318" t="s">
        <v>3904</v>
      </c>
      <c r="N81" s="3662"/>
      <c r="P81" s="3665"/>
    </row>
    <row r="82" spans="1:16" s="305" customFormat="1" ht="3" customHeight="1">
      <c r="A82" s="501"/>
      <c r="B82" s="501"/>
      <c r="D82" s="1560"/>
      <c r="E82" s="1560"/>
      <c r="F82" s="1560"/>
      <c r="G82" s="1560"/>
      <c r="I82" s="1571"/>
      <c r="K82" s="1559"/>
      <c r="L82" s="1559"/>
      <c r="M82" s="1571"/>
      <c r="N82" s="1570"/>
      <c r="P82" s="315"/>
    </row>
    <row r="83" spans="1:16" s="305" customFormat="1" ht="13.3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6.25E-2</v>
      </c>
      <c r="O83" s="318" t="s">
        <v>3721</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3721</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35" customHeight="1">
      <c r="A86" s="501"/>
      <c r="B86" s="501" t="s">
        <v>757</v>
      </c>
      <c r="C86" s="316" t="s">
        <v>1858</v>
      </c>
      <c r="D86" s="329"/>
      <c r="E86" s="329"/>
      <c r="F86" s="1560" t="s">
        <v>804</v>
      </c>
      <c r="H86" s="328">
        <f>'Part VIII-Threshold Criteria'!K305</f>
        <v>1</v>
      </c>
      <c r="K86" s="1620" t="s">
        <v>525</v>
      </c>
      <c r="L86" s="1620"/>
      <c r="N86" s="332">
        <f>IF('Part VI-Revenues &amp; Expenses'!$O$62=0,0,H86/'Part VI-Revenues &amp; Expenses'!$O$62)</f>
        <v>2.0833333333333332E-2</v>
      </c>
      <c r="O86" s="318" t="s">
        <v>3721</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3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35" customHeight="1">
      <c r="A90" s="501"/>
      <c r="B90" s="501" t="s">
        <v>1999</v>
      </c>
      <c r="C90" s="277" t="s">
        <v>2392</v>
      </c>
      <c r="D90" s="1560"/>
      <c r="E90" s="1560"/>
      <c r="F90" s="1560"/>
      <c r="H90" s="3666" t="s">
        <v>878</v>
      </c>
      <c r="I90" s="3667"/>
      <c r="J90" s="3668"/>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35" customHeight="1">
      <c r="B92" s="501" t="s">
        <v>2001</v>
      </c>
      <c r="C92" s="307" t="s">
        <v>1546</v>
      </c>
      <c r="K92" s="310" t="s">
        <v>877</v>
      </c>
      <c r="N92" s="334"/>
      <c r="P92" s="3659" t="s">
        <v>3014</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35" customHeight="1">
      <c r="A94" s="333" t="s">
        <v>294</v>
      </c>
      <c r="B94" s="1563" t="s">
        <v>2057</v>
      </c>
      <c r="D94" s="1560"/>
    </row>
    <row r="95" spans="1:16" s="305" customFormat="1" ht="3" customHeight="1">
      <c r="A95" s="501"/>
      <c r="B95" s="501"/>
      <c r="D95" s="1560"/>
      <c r="N95" s="1570"/>
      <c r="P95" s="315"/>
    </row>
    <row r="96" spans="1:16" s="305" customFormat="1" ht="13.35" customHeight="1">
      <c r="A96" s="333"/>
      <c r="B96" s="501" t="s">
        <v>1999</v>
      </c>
      <c r="C96" s="307" t="s">
        <v>2727</v>
      </c>
      <c r="F96" s="329" t="s">
        <v>2617</v>
      </c>
      <c r="H96" s="3659" t="s">
        <v>3014</v>
      </c>
      <c r="K96" s="329" t="s">
        <v>3928</v>
      </c>
      <c r="L96" s="3659" t="s">
        <v>3014</v>
      </c>
      <c r="O96" s="312" t="s">
        <v>3922</v>
      </c>
      <c r="P96" s="3659" t="s">
        <v>3014</v>
      </c>
    </row>
    <row r="97" spans="1:16" s="305" customFormat="1" ht="3" customHeight="1">
      <c r="A97" s="501"/>
      <c r="B97" s="501"/>
      <c r="C97" s="1563"/>
      <c r="F97" s="1560"/>
      <c r="H97" s="1560"/>
      <c r="J97" s="1571"/>
      <c r="K97" s="1571"/>
      <c r="L97" s="1571"/>
      <c r="M97" s="1571"/>
      <c r="N97" s="1571"/>
      <c r="P97" s="315"/>
    </row>
    <row r="98" spans="1:16" s="305" customFormat="1" ht="13.35" customHeight="1">
      <c r="A98" s="333"/>
      <c r="B98" s="501" t="s">
        <v>2001</v>
      </c>
      <c r="C98" s="307" t="s">
        <v>2728</v>
      </c>
      <c r="F98" s="1559" t="s">
        <v>2696</v>
      </c>
      <c r="H98" s="3659" t="s">
        <v>3014</v>
      </c>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35" customHeight="1">
      <c r="A100" s="333" t="s">
        <v>428</v>
      </c>
      <c r="B100" s="1563" t="s">
        <v>2802</v>
      </c>
      <c r="D100" s="1560"/>
      <c r="H100" s="3518" t="s">
        <v>2838</v>
      </c>
      <c r="I100" s="3548"/>
      <c r="J100" s="1571"/>
    </row>
    <row r="101" spans="1:16" s="305" customFormat="1" ht="4.5" customHeight="1">
      <c r="A101" s="501"/>
      <c r="D101" s="322"/>
      <c r="E101" s="1570"/>
      <c r="I101" s="322"/>
      <c r="J101" s="314"/>
      <c r="K101" s="1570"/>
      <c r="P101" s="315"/>
    </row>
    <row r="102" spans="1:16" s="305" customFormat="1" ht="13.3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35" customHeight="1">
      <c r="A104" s="501"/>
      <c r="B104" s="501"/>
      <c r="C104" s="314" t="s">
        <v>557</v>
      </c>
      <c r="D104" s="1570"/>
      <c r="E104" s="3590"/>
      <c r="F104" s="3591"/>
      <c r="G104" s="3591"/>
      <c r="H104" s="3591"/>
      <c r="I104" s="3591"/>
      <c r="J104" s="3591"/>
      <c r="K104" s="3591"/>
      <c r="L104" s="3592"/>
      <c r="M104" s="1629" t="s">
        <v>558</v>
      </c>
      <c r="N104" s="1629"/>
      <c r="O104" s="3669"/>
      <c r="P104" s="3670"/>
    </row>
    <row r="105" spans="1:16" s="305" customFormat="1" ht="13.35" customHeight="1">
      <c r="C105" s="310" t="s">
        <v>1031</v>
      </c>
      <c r="D105" s="318"/>
      <c r="E105" s="3593"/>
      <c r="F105" s="3594"/>
      <c r="G105" s="3594"/>
      <c r="H105" s="3595"/>
      <c r="I105" s="3594"/>
      <c r="J105" s="3595"/>
      <c r="K105" s="3594"/>
      <c r="L105" s="3597"/>
      <c r="M105" s="1629" t="s">
        <v>816</v>
      </c>
      <c r="N105" s="1629"/>
      <c r="O105" s="3671"/>
      <c r="P105" s="3672"/>
    </row>
    <row r="106" spans="1:16" s="305" customFormat="1" ht="13.35" customHeight="1">
      <c r="C106" s="310" t="s">
        <v>624</v>
      </c>
      <c r="E106" s="3613"/>
      <c r="F106" s="3673"/>
      <c r="G106" s="3674"/>
      <c r="H106" s="1561" t="s">
        <v>1812</v>
      </c>
      <c r="I106" s="3675"/>
      <c r="J106" s="335" t="s">
        <v>2245</v>
      </c>
      <c r="K106" s="3676"/>
      <c r="L106" s="3677"/>
      <c r="M106" s="280" t="s">
        <v>3689</v>
      </c>
      <c r="N106" s="280"/>
      <c r="O106" s="3678"/>
      <c r="P106" s="3679"/>
    </row>
    <row r="107" spans="1:16" s="305" customFormat="1" ht="13.35" customHeight="1">
      <c r="C107" s="305" t="s">
        <v>2210</v>
      </c>
      <c r="E107" s="3613"/>
      <c r="F107" s="3673"/>
      <c r="G107" s="3674"/>
      <c r="H107" s="1039" t="s">
        <v>1996</v>
      </c>
      <c r="I107" s="3680"/>
      <c r="J107" s="3681"/>
      <c r="K107" s="3537"/>
      <c r="L107" s="1581" t="s">
        <v>2000</v>
      </c>
      <c r="M107" s="3590"/>
      <c r="N107" s="3682"/>
      <c r="O107" s="3683"/>
      <c r="P107" s="3684"/>
    </row>
    <row r="108" spans="1:16" s="305" customFormat="1" ht="13.35" customHeight="1">
      <c r="C108" s="310" t="s">
        <v>2209</v>
      </c>
      <c r="E108" s="3608"/>
      <c r="F108" s="3685"/>
      <c r="G108" s="3609"/>
      <c r="H108" s="1039" t="s">
        <v>1815</v>
      </c>
      <c r="I108" s="3608"/>
      <c r="J108" s="3686"/>
      <c r="K108" s="1561" t="s">
        <v>2723</v>
      </c>
      <c r="L108" s="3530"/>
      <c r="M108" s="3687"/>
      <c r="N108" s="3687"/>
      <c r="O108" s="3687"/>
      <c r="P108" s="3688"/>
    </row>
    <row r="109" spans="1:16" s="305" customFormat="1" ht="3" customHeight="1">
      <c r="A109" s="501"/>
      <c r="B109" s="501"/>
      <c r="G109" s="322"/>
      <c r="H109" s="1571"/>
      <c r="I109" s="1571"/>
      <c r="M109" s="315"/>
    </row>
    <row r="110" spans="1:16" s="305" customFormat="1" ht="13.3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35" customHeight="1">
      <c r="B112" s="329" t="s">
        <v>2169</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1999</v>
      </c>
      <c r="C114" s="1563" t="s">
        <v>1424</v>
      </c>
      <c r="D114" s="1560"/>
      <c r="E114" s="1560"/>
      <c r="F114" s="1571"/>
      <c r="G114" s="1571"/>
      <c r="H114" s="3689">
        <v>3</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2001</v>
      </c>
      <c r="C116" s="1563" t="s">
        <v>418</v>
      </c>
      <c r="D116" s="1560"/>
      <c r="E116" s="1560"/>
      <c r="F116" s="1571"/>
      <c r="G116" s="1571"/>
      <c r="H116" s="3690">
        <v>2439000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757</v>
      </c>
      <c r="C118" s="1563" t="s">
        <v>304</v>
      </c>
      <c r="D118" s="1560"/>
      <c r="E118" s="1560"/>
      <c r="F118" s="1571"/>
      <c r="G118" s="1571"/>
      <c r="H118" s="1571"/>
      <c r="I118" s="1571"/>
      <c r="J118" s="322"/>
      <c r="K118" s="1571"/>
      <c r="L118" s="1571"/>
      <c r="N118" s="1570"/>
      <c r="O118" s="1570"/>
    </row>
    <row r="119" spans="1:16" s="305" customFormat="1" ht="13.3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35" customHeight="1">
      <c r="A120" s="501"/>
      <c r="B120" s="501"/>
      <c r="C120" s="3691" t="s">
        <v>4610</v>
      </c>
      <c r="D120" s="3692"/>
      <c r="E120" s="3692"/>
      <c r="F120" s="3693" t="s">
        <v>4562</v>
      </c>
      <c r="G120" s="3448"/>
      <c r="H120" s="3694"/>
      <c r="I120" s="3695" t="s">
        <v>4612</v>
      </c>
      <c r="J120" s="3691" t="s">
        <v>4613</v>
      </c>
      <c r="K120" s="3692"/>
      <c r="L120" s="3692"/>
      <c r="M120" s="3693" t="s">
        <v>4562</v>
      </c>
      <c r="N120" s="3448"/>
      <c r="O120" s="3694"/>
      <c r="P120" s="3695" t="s">
        <v>4612</v>
      </c>
    </row>
    <row r="121" spans="1:16" s="305" customFormat="1" ht="13.35" customHeight="1">
      <c r="A121" s="501"/>
      <c r="B121" s="501"/>
      <c r="C121" s="3696">
        <v>2</v>
      </c>
      <c r="D121" s="3697"/>
      <c r="E121" s="3697"/>
      <c r="F121" s="3698" t="s">
        <v>4570</v>
      </c>
      <c r="G121" s="3699"/>
      <c r="H121" s="3700"/>
      <c r="I121" s="3701" t="s">
        <v>4612</v>
      </c>
      <c r="J121" s="3696">
        <v>8</v>
      </c>
      <c r="K121" s="3697"/>
      <c r="L121" s="3697"/>
      <c r="M121" s="3698" t="s">
        <v>4570</v>
      </c>
      <c r="N121" s="3699"/>
      <c r="O121" s="3700"/>
      <c r="P121" s="3701" t="s">
        <v>4612</v>
      </c>
    </row>
    <row r="122" spans="1:16" s="305" customFormat="1" ht="13.35" customHeight="1">
      <c r="A122" s="501"/>
      <c r="B122" s="501"/>
      <c r="C122" s="3696">
        <v>3</v>
      </c>
      <c r="D122" s="3697"/>
      <c r="E122" s="3697"/>
      <c r="F122" s="3698" t="s">
        <v>4571</v>
      </c>
      <c r="G122" s="3699"/>
      <c r="H122" s="3700"/>
      <c r="I122" s="3701" t="s">
        <v>4612</v>
      </c>
      <c r="J122" s="3696">
        <v>9</v>
      </c>
      <c r="K122" s="3697"/>
      <c r="L122" s="3697"/>
      <c r="M122" s="3698"/>
      <c r="N122" s="3699"/>
      <c r="O122" s="3700"/>
      <c r="P122" s="3701"/>
    </row>
    <row r="123" spans="1:16" s="305" customFormat="1" ht="13.35" customHeight="1">
      <c r="A123" s="501"/>
      <c r="B123" s="501"/>
      <c r="C123" s="3696" t="s">
        <v>4611</v>
      </c>
      <c r="D123" s="3697"/>
      <c r="E123" s="3697"/>
      <c r="F123" s="3698" t="s">
        <v>4562</v>
      </c>
      <c r="G123" s="3699"/>
      <c r="H123" s="3700"/>
      <c r="I123" s="3701" t="s">
        <v>4612</v>
      </c>
      <c r="J123" s="3696" t="s">
        <v>4558</v>
      </c>
      <c r="K123" s="3697"/>
      <c r="L123" s="3697"/>
      <c r="M123" s="3698" t="s">
        <v>4562</v>
      </c>
      <c r="N123" s="3699"/>
      <c r="O123" s="3700"/>
      <c r="P123" s="3701" t="s">
        <v>4612</v>
      </c>
    </row>
    <row r="124" spans="1:16" s="305" customFormat="1" ht="13.35" customHeight="1">
      <c r="A124" s="501"/>
      <c r="B124" s="501"/>
      <c r="C124" s="3696">
        <v>5</v>
      </c>
      <c r="D124" s="3697"/>
      <c r="E124" s="3697"/>
      <c r="F124" s="3698" t="s">
        <v>4570</v>
      </c>
      <c r="G124" s="3699"/>
      <c r="H124" s="3700"/>
      <c r="I124" s="3701" t="s">
        <v>4612</v>
      </c>
      <c r="J124" s="3696">
        <v>11</v>
      </c>
      <c r="K124" s="3697"/>
      <c r="L124" s="3697"/>
      <c r="M124" s="3698" t="s">
        <v>4570</v>
      </c>
      <c r="N124" s="3699"/>
      <c r="O124" s="3700"/>
      <c r="P124" s="3701" t="s">
        <v>4612</v>
      </c>
    </row>
    <row r="125" spans="1:16" s="305" customFormat="1" ht="13.35" customHeight="1">
      <c r="A125" s="501"/>
      <c r="B125" s="501"/>
      <c r="C125" s="3702">
        <v>6</v>
      </c>
      <c r="D125" s="3703"/>
      <c r="E125" s="3703"/>
      <c r="F125" s="3704" t="s">
        <v>4571</v>
      </c>
      <c r="G125" s="3705"/>
      <c r="H125" s="3706"/>
      <c r="I125" s="3707" t="s">
        <v>4612</v>
      </c>
      <c r="J125" s="3702">
        <v>12</v>
      </c>
      <c r="K125" s="3703"/>
      <c r="L125" s="3703"/>
      <c r="M125" s="3704"/>
      <c r="N125" s="3705"/>
      <c r="O125" s="3706"/>
      <c r="P125" s="3707"/>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3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3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35" customHeight="1">
      <c r="A130" s="501"/>
      <c r="B130" s="501"/>
      <c r="C130" s="3691" t="s">
        <v>4610</v>
      </c>
      <c r="D130" s="3692"/>
      <c r="E130" s="3692"/>
      <c r="F130" s="3693" t="s">
        <v>4571</v>
      </c>
      <c r="G130" s="3448"/>
      <c r="H130" s="3448"/>
      <c r="I130" s="3449"/>
      <c r="J130" s="3691">
        <v>7</v>
      </c>
      <c r="K130" s="3692"/>
      <c r="L130" s="3692"/>
      <c r="M130" s="3693"/>
      <c r="N130" s="3448"/>
      <c r="O130" s="3448"/>
      <c r="P130" s="3449"/>
    </row>
    <row r="131" spans="1:16" s="305" customFormat="1" ht="13.35" customHeight="1">
      <c r="A131" s="501"/>
      <c r="B131" s="501"/>
      <c r="C131" s="3696">
        <v>2</v>
      </c>
      <c r="D131" s="3697"/>
      <c r="E131" s="3697"/>
      <c r="F131" s="3698"/>
      <c r="G131" s="3699"/>
      <c r="H131" s="3699"/>
      <c r="I131" s="3708"/>
      <c r="J131" s="3696">
        <v>8</v>
      </c>
      <c r="K131" s="3697"/>
      <c r="L131" s="3697"/>
      <c r="M131" s="3698"/>
      <c r="N131" s="3699"/>
      <c r="O131" s="3699"/>
      <c r="P131" s="3708"/>
    </row>
    <row r="132" spans="1:16" s="305" customFormat="1" ht="13.35" customHeight="1">
      <c r="A132" s="501"/>
      <c r="B132" s="501"/>
      <c r="C132" s="3696" t="s">
        <v>4611</v>
      </c>
      <c r="D132" s="3697"/>
      <c r="E132" s="3697"/>
      <c r="F132" s="3698" t="s">
        <v>4571</v>
      </c>
      <c r="G132" s="3699"/>
      <c r="H132" s="3699"/>
      <c r="I132" s="3708"/>
      <c r="J132" s="3696">
        <v>9</v>
      </c>
      <c r="K132" s="3697"/>
      <c r="L132" s="3697"/>
      <c r="M132" s="3698"/>
      <c r="N132" s="3699"/>
      <c r="O132" s="3699"/>
      <c r="P132" s="3708"/>
    </row>
    <row r="133" spans="1:16" s="305" customFormat="1" ht="13.35" customHeight="1">
      <c r="A133" s="501"/>
      <c r="B133" s="501"/>
      <c r="C133" s="3696">
        <v>4</v>
      </c>
      <c r="D133" s="3697"/>
      <c r="E133" s="3697"/>
      <c r="F133" s="3698"/>
      <c r="G133" s="3699"/>
      <c r="H133" s="3699"/>
      <c r="I133" s="3708"/>
      <c r="J133" s="3696">
        <v>10</v>
      </c>
      <c r="K133" s="3697"/>
      <c r="L133" s="3697"/>
      <c r="M133" s="3698"/>
      <c r="N133" s="3699"/>
      <c r="O133" s="3699"/>
      <c r="P133" s="3708"/>
    </row>
    <row r="134" spans="1:16" s="305" customFormat="1" ht="13.35" customHeight="1">
      <c r="A134" s="501"/>
      <c r="B134" s="501"/>
      <c r="C134" s="3696" t="s">
        <v>4614</v>
      </c>
      <c r="D134" s="3697"/>
      <c r="E134" s="3697"/>
      <c r="F134" s="3698" t="s">
        <v>4571</v>
      </c>
      <c r="G134" s="3699"/>
      <c r="H134" s="3699"/>
      <c r="I134" s="3708"/>
      <c r="J134" s="3696">
        <v>11</v>
      </c>
      <c r="K134" s="3697"/>
      <c r="L134" s="3697"/>
      <c r="M134" s="3698"/>
      <c r="N134" s="3699"/>
      <c r="O134" s="3699"/>
      <c r="P134" s="3708"/>
    </row>
    <row r="135" spans="1:16" s="305" customFormat="1" ht="13.35" customHeight="1">
      <c r="A135" s="501"/>
      <c r="B135" s="501"/>
      <c r="C135" s="3702">
        <v>6</v>
      </c>
      <c r="D135" s="3703"/>
      <c r="E135" s="3703"/>
      <c r="F135" s="3704"/>
      <c r="G135" s="3705"/>
      <c r="H135" s="3705"/>
      <c r="I135" s="3709"/>
      <c r="J135" s="3702">
        <v>12</v>
      </c>
      <c r="K135" s="3703"/>
      <c r="L135" s="3703"/>
      <c r="M135" s="3704"/>
      <c r="N135" s="3705"/>
      <c r="O135" s="3705"/>
      <c r="P135" s="3709"/>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35" customHeight="1">
      <c r="A138" s="333" t="s">
        <v>366</v>
      </c>
      <c r="B138" s="330" t="s">
        <v>2434</v>
      </c>
      <c r="D138" s="330"/>
      <c r="E138" s="330"/>
      <c r="F138" s="330"/>
      <c r="I138" s="3659"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35" customHeight="1">
      <c r="A140" s="501"/>
      <c r="B140" s="501" t="s">
        <v>1999</v>
      </c>
      <c r="C140" s="311" t="s">
        <v>1726</v>
      </c>
      <c r="I140" s="3428"/>
      <c r="M140" s="1571"/>
      <c r="N140" s="1570"/>
      <c r="O140" s="1570"/>
      <c r="P140" s="315"/>
    </row>
    <row r="141" spans="1:16" s="305" customFormat="1" ht="13.35" customHeight="1">
      <c r="A141" s="501"/>
      <c r="B141" s="501"/>
      <c r="C141" s="1560" t="s">
        <v>2436</v>
      </c>
      <c r="D141" s="1560"/>
      <c r="E141" s="1560"/>
      <c r="F141" s="1571"/>
      <c r="I141" s="3710"/>
      <c r="N141" s="1570"/>
      <c r="O141" s="1570"/>
      <c r="P141" s="315"/>
    </row>
    <row r="142" spans="1:16" s="305" customFormat="1" ht="13.35" customHeight="1">
      <c r="A142" s="501"/>
      <c r="B142" s="501"/>
      <c r="C142" s="338" t="s">
        <v>1725</v>
      </c>
      <c r="D142" s="310"/>
      <c r="I142" s="3431"/>
      <c r="P142" s="315"/>
    </row>
    <row r="143" spans="1:16" s="305" customFormat="1" ht="13.35" customHeight="1">
      <c r="A143" s="501"/>
      <c r="B143" s="501"/>
      <c r="C143" s="1560" t="s">
        <v>2437</v>
      </c>
      <c r="D143" s="1560"/>
      <c r="E143" s="1560"/>
      <c r="F143" s="1571"/>
      <c r="I143" s="3710"/>
      <c r="K143" s="280" t="s">
        <v>2261</v>
      </c>
      <c r="O143" s="3590" t="s">
        <v>489</v>
      </c>
      <c r="P143" s="3592"/>
    </row>
    <row r="144" spans="1:16" s="305" customFormat="1" ht="13.35" customHeight="1">
      <c r="A144" s="501"/>
      <c r="B144" s="501"/>
      <c r="C144" s="1560" t="s">
        <v>2435</v>
      </c>
      <c r="F144" s="1571"/>
      <c r="I144" s="3711"/>
      <c r="K144" s="280" t="s">
        <v>2262</v>
      </c>
      <c r="O144" s="3616" t="s">
        <v>489</v>
      </c>
      <c r="P144" s="3596"/>
    </row>
    <row r="145" spans="1:16" s="305" customFormat="1" ht="13.35" customHeight="1">
      <c r="A145" s="501"/>
      <c r="B145" s="501"/>
      <c r="C145" s="1560" t="s">
        <v>2182</v>
      </c>
      <c r="D145" s="1560"/>
      <c r="E145" s="1560"/>
      <c r="F145" s="1571"/>
      <c r="I145" s="3712"/>
      <c r="J145" s="3713"/>
      <c r="N145" s="1570"/>
      <c r="O145" s="1570"/>
      <c r="P145" s="315"/>
    </row>
    <row r="146" spans="1:16" s="305" customFormat="1" ht="3" customHeight="1">
      <c r="A146" s="501"/>
      <c r="B146" s="501"/>
      <c r="C146" s="1560"/>
      <c r="D146" s="1560"/>
      <c r="E146" s="1560"/>
      <c r="F146" s="1571"/>
      <c r="N146" s="1570"/>
      <c r="O146" s="1570"/>
      <c r="P146" s="315"/>
    </row>
    <row r="147" spans="1:16" s="305" customFormat="1" ht="13.35" customHeight="1">
      <c r="A147" s="501"/>
      <c r="B147" s="501" t="s">
        <v>2001</v>
      </c>
      <c r="C147" s="1563" t="s">
        <v>2506</v>
      </c>
      <c r="D147" s="1560"/>
      <c r="E147" s="1560"/>
      <c r="F147" s="1571"/>
      <c r="I147" s="3689"/>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35" customHeight="1">
      <c r="A149" s="501"/>
      <c r="B149" s="501" t="s">
        <v>757</v>
      </c>
      <c r="C149" s="1563" t="s">
        <v>2720</v>
      </c>
      <c r="D149" s="1560"/>
      <c r="E149" s="1560"/>
      <c r="F149" s="1571"/>
      <c r="G149" s="1571"/>
      <c r="N149" s="1570"/>
      <c r="O149" s="1570"/>
      <c r="P149" s="315"/>
    </row>
    <row r="150" spans="1:16" s="305" customFormat="1" ht="13.35" customHeight="1">
      <c r="A150" s="501"/>
      <c r="B150" s="501"/>
      <c r="C150" s="1560" t="s">
        <v>726</v>
      </c>
      <c r="D150" s="1560"/>
      <c r="E150" s="1560"/>
      <c r="F150" s="1571"/>
      <c r="G150" s="1571"/>
      <c r="I150" s="3689"/>
      <c r="K150" s="1560" t="s">
        <v>1547</v>
      </c>
      <c r="L150" s="1560"/>
      <c r="M150" s="1571"/>
      <c r="N150" s="1571"/>
      <c r="O150" s="3689"/>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35" customHeight="1">
      <c r="A152" s="333" t="s">
        <v>1739</v>
      </c>
      <c r="B152" s="330" t="s">
        <v>1201</v>
      </c>
      <c r="D152" s="330"/>
      <c r="E152" s="330"/>
      <c r="F152" s="330"/>
      <c r="G152" s="1571"/>
      <c r="H152" s="1571"/>
      <c r="I152" s="1571"/>
      <c r="J152" s="322"/>
      <c r="K152" s="1571"/>
      <c r="L152" s="1571"/>
      <c r="N152" s="1570"/>
      <c r="O152" s="1570"/>
      <c r="P152" s="315"/>
    </row>
    <row r="153" spans="1:16" s="305" customFormat="1" ht="2.1" customHeight="1">
      <c r="A153" s="333"/>
      <c r="B153" s="501"/>
      <c r="C153" s="1563"/>
      <c r="D153" s="1563"/>
      <c r="E153" s="1563"/>
      <c r="F153" s="1563"/>
      <c r="G153" s="1571"/>
      <c r="H153" s="1571"/>
      <c r="I153" s="1571"/>
      <c r="J153" s="322"/>
      <c r="K153" s="1571"/>
      <c r="L153" s="1571"/>
      <c r="N153" s="1570"/>
      <c r="O153" s="1570"/>
    </row>
    <row r="154" spans="1:16" s="305" customFormat="1" ht="13.3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4" t="s">
        <v>3014</v>
      </c>
      <c r="N155" s="1570"/>
      <c r="O155" s="1570"/>
      <c r="P155" s="315"/>
    </row>
    <row r="156" spans="1:16" s="305" customFormat="1" ht="12.6" customHeight="1">
      <c r="A156" s="501"/>
      <c r="B156" s="501"/>
      <c r="C156" s="305" t="s">
        <v>621</v>
      </c>
      <c r="K156" s="3715"/>
      <c r="L156" s="310" t="s">
        <v>1808</v>
      </c>
      <c r="P156" s="339">
        <f>IF('Part VI-Revenues &amp; Expenses'!O$60=0,0,K156/'Part VI-Revenues &amp; Expenses'!$O$60)</f>
        <v>0</v>
      </c>
    </row>
    <row r="157" spans="1:16" s="305" customFormat="1" ht="12.6" customHeight="1">
      <c r="A157" s="501"/>
      <c r="B157" s="501"/>
      <c r="C157" s="305" t="s">
        <v>3752</v>
      </c>
      <c r="H157" s="3661"/>
      <c r="I157" s="179"/>
      <c r="J157" s="901" t="s">
        <v>3751</v>
      </c>
      <c r="K157" s="3715"/>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90"/>
      <c r="F158" s="3591"/>
      <c r="G158" s="3591"/>
      <c r="H158" s="3591"/>
      <c r="I158" s="3591"/>
      <c r="J158" s="3591"/>
      <c r="K158" s="3622"/>
      <c r="L158" s="340" t="s">
        <v>1810</v>
      </c>
      <c r="M158" s="3716"/>
      <c r="N158" s="3717"/>
      <c r="O158" s="3717"/>
      <c r="P158" s="3718"/>
    </row>
    <row r="159" spans="1:16" s="305" customFormat="1" ht="12.6" customHeight="1">
      <c r="A159" s="501"/>
      <c r="B159" s="501"/>
      <c r="C159" s="310" t="s">
        <v>1811</v>
      </c>
      <c r="D159" s="318"/>
      <c r="E159" s="3593"/>
      <c r="F159" s="3594"/>
      <c r="G159" s="3594"/>
      <c r="H159" s="3594"/>
      <c r="I159" s="3595"/>
      <c r="J159" s="3594"/>
      <c r="K159" s="3597"/>
      <c r="L159" s="340" t="s">
        <v>1815</v>
      </c>
      <c r="M159" s="3719"/>
      <c r="N159" s="3720"/>
      <c r="O159" s="3721"/>
    </row>
    <row r="160" spans="1:16" s="305" customFormat="1" ht="12.6" customHeight="1">
      <c r="A160" s="501"/>
      <c r="B160" s="501"/>
      <c r="C160" s="310" t="s">
        <v>624</v>
      </c>
      <c r="E160" s="3616"/>
      <c r="F160" s="3595"/>
      <c r="G160" s="3595"/>
      <c r="H160" s="3596"/>
      <c r="I160" s="335" t="s">
        <v>2245</v>
      </c>
      <c r="J160" s="3599"/>
      <c r="K160" s="3601"/>
      <c r="L160" s="341" t="s">
        <v>1995</v>
      </c>
      <c r="M160" s="3719"/>
      <c r="N160" s="3720"/>
      <c r="O160" s="3721"/>
    </row>
    <row r="161" spans="1:16" s="305" customFormat="1" ht="12.6" customHeight="1">
      <c r="A161" s="501"/>
      <c r="B161" s="501"/>
      <c r="C161" s="310" t="s">
        <v>1814</v>
      </c>
      <c r="E161" s="3608"/>
      <c r="F161" s="3685"/>
      <c r="G161" s="3609"/>
      <c r="H161" s="1557"/>
      <c r="I161" s="1562" t="s">
        <v>1813</v>
      </c>
      <c r="J161" s="3722"/>
      <c r="K161" s="3687"/>
      <c r="L161" s="3531"/>
      <c r="M161" s="3687"/>
      <c r="N161" s="3687"/>
      <c r="O161" s="3687"/>
      <c r="P161" s="3532"/>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2721</v>
      </c>
      <c r="D163" s="1563"/>
      <c r="E163" s="1563"/>
      <c r="F163" s="1563"/>
      <c r="G163" s="1563"/>
      <c r="I163" s="3689" t="s">
        <v>3014</v>
      </c>
      <c r="J163" s="1621" t="s">
        <v>769</v>
      </c>
      <c r="K163" s="1622"/>
      <c r="L163" s="3689"/>
      <c r="M163" s="1623" t="s">
        <v>2342</v>
      </c>
      <c r="N163" s="1624"/>
      <c r="O163" s="1625"/>
      <c r="P163" s="3723"/>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3689" t="s">
        <v>3011</v>
      </c>
      <c r="J165" s="1621" t="s">
        <v>769</v>
      </c>
      <c r="K165" s="1622"/>
      <c r="L165" s="3689">
        <v>20</v>
      </c>
      <c r="M165" s="1623" t="s">
        <v>2342</v>
      </c>
      <c r="N165" s="1624"/>
      <c r="O165" s="1625"/>
      <c r="P165" s="3723">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9"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9" t="s">
        <v>3014</v>
      </c>
      <c r="J169" s="345" t="s">
        <v>2772</v>
      </c>
      <c r="L169" s="1627" t="s">
        <v>3727</v>
      </c>
      <c r="M169" s="1627"/>
      <c r="N169" s="1563"/>
      <c r="O169" s="1563"/>
      <c r="P169" s="3660"/>
    </row>
    <row r="170" spans="1:16" s="305" customFormat="1" ht="12.6" customHeight="1">
      <c r="B170" s="501"/>
      <c r="L170" s="1620" t="s">
        <v>805</v>
      </c>
      <c r="M170" s="1620"/>
      <c r="N170" s="1563"/>
      <c r="O170" s="1563"/>
      <c r="P170" s="3662"/>
    </row>
    <row r="171" spans="1:16" s="305" customFormat="1" ht="12.6" customHeight="1">
      <c r="A171" s="501"/>
      <c r="B171" s="501"/>
      <c r="L171" s="1620" t="s">
        <v>1804</v>
      </c>
      <c r="M171" s="1620"/>
      <c r="N171" s="1563"/>
      <c r="O171" s="1563"/>
      <c r="P171" s="344" t="str">
        <f>IF(P169="","",P170/P169)</f>
        <v/>
      </c>
    </row>
    <row r="172" spans="1:16" s="305" customFormat="1" ht="13.3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4" t="s">
        <v>3014</v>
      </c>
      <c r="L173" s="1570" t="s">
        <v>1622</v>
      </c>
      <c r="M173" s="1570"/>
      <c r="N173" s="1570"/>
      <c r="P173" s="3714" t="s">
        <v>3011</v>
      </c>
    </row>
    <row r="174" spans="1:16" s="305" customFormat="1" ht="12.6" customHeight="1">
      <c r="A174" s="501"/>
      <c r="B174" s="501"/>
      <c r="C174" s="1570" t="s">
        <v>2229</v>
      </c>
      <c r="I174" s="3711" t="s">
        <v>3014</v>
      </c>
      <c r="L174" s="1570" t="s">
        <v>2864</v>
      </c>
      <c r="M174" s="1570"/>
      <c r="N174" s="1570"/>
      <c r="P174" s="3711" t="s">
        <v>3014</v>
      </c>
    </row>
    <row r="175" spans="1:16" s="305" customFormat="1" ht="12.6" customHeight="1">
      <c r="A175" s="501"/>
      <c r="C175" s="1570" t="s">
        <v>2741</v>
      </c>
      <c r="I175" s="3711" t="s">
        <v>3014</v>
      </c>
      <c r="L175" s="1570" t="s">
        <v>2707</v>
      </c>
      <c r="N175" s="3724"/>
      <c r="O175" s="3725"/>
      <c r="P175" s="3711"/>
    </row>
    <row r="176" spans="1:16" s="305" customFormat="1" ht="12.6" customHeight="1">
      <c r="A176" s="501"/>
      <c r="B176" s="501"/>
      <c r="C176" s="1570" t="s">
        <v>1297</v>
      </c>
      <c r="D176" s="346"/>
      <c r="I176" s="3711" t="s">
        <v>3014</v>
      </c>
      <c r="K176" s="316"/>
      <c r="L176" s="1570" t="s">
        <v>3506</v>
      </c>
      <c r="M176" s="1570"/>
      <c r="N176" s="1570"/>
      <c r="P176" s="3711" t="s">
        <v>3014</v>
      </c>
    </row>
    <row r="177" spans="1:21" s="305" customFormat="1" ht="12.6" customHeight="1">
      <c r="A177" s="501"/>
      <c r="B177" s="307"/>
      <c r="C177" s="1570" t="s">
        <v>1820</v>
      </c>
      <c r="I177" s="3711" t="s">
        <v>3014</v>
      </c>
      <c r="J177" s="345" t="s">
        <v>2773</v>
      </c>
      <c r="O177" s="3726"/>
      <c r="P177" s="3727"/>
    </row>
    <row r="178" spans="1:21" s="305" customFormat="1" ht="12.6" customHeight="1">
      <c r="A178" s="501"/>
      <c r="B178" s="501"/>
      <c r="C178" s="1570" t="s">
        <v>2922</v>
      </c>
      <c r="I178" s="3728" t="s">
        <v>3014</v>
      </c>
      <c r="J178" s="345" t="s">
        <v>2773</v>
      </c>
      <c r="O178" s="3729"/>
      <c r="P178" s="3730"/>
    </row>
    <row r="179" spans="1:21" s="305" customFormat="1" ht="3" customHeight="1">
      <c r="A179" s="501"/>
      <c r="B179" s="501"/>
      <c r="P179" s="314"/>
    </row>
    <row r="180" spans="1:21" s="305" customFormat="1" ht="13.35" customHeight="1">
      <c r="B180" s="501" t="s">
        <v>1749</v>
      </c>
      <c r="C180" s="311" t="s">
        <v>747</v>
      </c>
    </row>
    <row r="181" spans="1:21" s="305" customFormat="1" ht="12.6" customHeight="1">
      <c r="A181" s="501"/>
      <c r="B181" s="501"/>
      <c r="C181" s="310" t="s">
        <v>645</v>
      </c>
      <c r="D181" s="1560"/>
      <c r="E181" s="1560"/>
      <c r="F181" s="1571"/>
      <c r="G181" s="1571"/>
      <c r="H181" s="3669"/>
      <c r="I181" s="3670"/>
      <c r="N181" s="1570"/>
      <c r="O181" s="1570"/>
      <c r="P181" s="315"/>
    </row>
    <row r="182" spans="1:21" s="305" customFormat="1" ht="12.6" customHeight="1">
      <c r="A182" s="501"/>
      <c r="B182" s="501"/>
      <c r="C182" s="310" t="s">
        <v>278</v>
      </c>
      <c r="D182" s="1560"/>
      <c r="E182" s="1560"/>
      <c r="F182" s="1571"/>
      <c r="G182" s="1571"/>
      <c r="H182" s="3731"/>
      <c r="I182" s="3732"/>
      <c r="N182" s="1570"/>
      <c r="O182" s="1570"/>
      <c r="P182" s="315"/>
    </row>
    <row r="183" spans="1:21" s="305" customFormat="1" ht="12.6" customHeight="1">
      <c r="A183" s="501"/>
      <c r="B183" s="501"/>
      <c r="C183" s="310" t="s">
        <v>2311</v>
      </c>
      <c r="D183" s="1560"/>
      <c r="E183" s="1560"/>
      <c r="F183" s="1571"/>
      <c r="G183" s="1571"/>
      <c r="H183" s="3733">
        <v>44105</v>
      </c>
      <c r="I183" s="3734"/>
      <c r="N183" s="1570"/>
      <c r="O183" s="1570"/>
      <c r="P183" s="315"/>
    </row>
    <row r="184" spans="1:21" s="305" customFormat="1" ht="6" customHeight="1">
      <c r="B184" s="307"/>
      <c r="C184" s="1570"/>
      <c r="H184" s="1570"/>
      <c r="L184" s="324"/>
      <c r="M184" s="324"/>
      <c r="N184" s="324"/>
      <c r="O184" s="324"/>
      <c r="P184" s="312"/>
    </row>
    <row r="185" spans="1:21" ht="12" customHeight="1">
      <c r="A185" s="333" t="s">
        <v>2801</v>
      </c>
      <c r="C185" s="333" t="s">
        <v>577</v>
      </c>
      <c r="M185" s="333" t="s">
        <v>2267</v>
      </c>
      <c r="N185" s="333" t="s">
        <v>80</v>
      </c>
    </row>
    <row r="186" spans="1:21" ht="409.5" customHeight="1">
      <c r="A186" s="3735" t="s">
        <v>4722</v>
      </c>
      <c r="B186" s="3736"/>
      <c r="C186" s="3736"/>
      <c r="D186" s="3736"/>
      <c r="E186" s="3736"/>
      <c r="F186" s="3736"/>
      <c r="G186" s="3736"/>
      <c r="H186" s="3736"/>
      <c r="I186" s="3736"/>
      <c r="J186" s="3736"/>
      <c r="K186" s="3736"/>
      <c r="L186" s="3737"/>
      <c r="M186" s="3738"/>
      <c r="N186" s="3739"/>
      <c r="O186" s="3739"/>
      <c r="P186" s="3740"/>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3.1"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1"/>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1"/>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1"/>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1"/>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41"/>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41"/>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41"/>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41"/>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41"/>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41"/>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41"/>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41"/>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41"/>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3899</v>
      </c>
      <c r="K216" s="1181"/>
      <c r="L216" s="1181"/>
      <c r="M216" s="1181"/>
      <c r="N216" s="1181"/>
      <c r="O216" s="1181"/>
      <c r="P216" s="1183"/>
      <c r="Q216" s="3741"/>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1"/>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1"/>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1"/>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1"/>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1"/>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2"/>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1"/>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1"/>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1"/>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2"/>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1"/>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1"/>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1"/>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1"/>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1"/>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1"/>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1"/>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1"/>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1"/>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1"/>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1"/>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1"/>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1"/>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3"/>
      <c r="Q240" s="3741"/>
      <c r="R240" s="1183"/>
      <c r="S240" s="374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1"/>
      <c r="R241" s="1183"/>
      <c r="S241" s="374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1"/>
      <c r="R242" s="1183"/>
      <c r="S242" s="374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1"/>
      <c r="R243" s="1183"/>
      <c r="S243" s="374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2"/>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1"/>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1"/>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3"/>
      <c r="Q248" s="3741"/>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1"/>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1"/>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1"/>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1"/>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1"/>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1"/>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1"/>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3"/>
      <c r="Q256" s="3741"/>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1"/>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1"/>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1"/>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1"/>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1"/>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1"/>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1"/>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1"/>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1"/>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1"/>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1"/>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1"/>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1"/>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1"/>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1"/>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1"/>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1"/>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1"/>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1"/>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1"/>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1"/>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1"/>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1"/>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1"/>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1"/>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1"/>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1"/>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1"/>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1"/>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1"/>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1"/>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1"/>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1"/>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1"/>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1"/>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1"/>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1"/>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1"/>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1"/>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1"/>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1"/>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3"/>
      <c r="Q298" s="3741"/>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1"/>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1"/>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1"/>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1"/>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1"/>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1"/>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1"/>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1"/>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1"/>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1"/>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1"/>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1"/>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1"/>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2"/>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1"/>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1"/>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1"/>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2"/>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1"/>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1"/>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3"/>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1"/>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1"/>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1"/>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2"/>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1"/>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3"/>
      <c r="Q327" s="3741"/>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1"/>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1"/>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1"/>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2"/>
      <c r="Q333" s="3741"/>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1"/>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1"/>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1"/>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1"/>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1"/>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1"/>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1"/>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1"/>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1"/>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1"/>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1"/>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1"/>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1"/>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1"/>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1"/>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1"/>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1"/>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3"/>
      <c r="Q351" s="3741"/>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1"/>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1"/>
      <c r="R353" s="1183"/>
      <c r="S353" s="3744"/>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1"/>
      <c r="R354" s="1183"/>
      <c r="S354" s="374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1"/>
      <c r="R355" s="1183"/>
      <c r="S355" s="3744"/>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4"/>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3"/>
      <c r="Q357" s="1181"/>
      <c r="R357" s="1183"/>
      <c r="S357" s="3744"/>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4"/>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4"/>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3"/>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3"/>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3"/>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3"/>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3"/>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3"/>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3"/>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3"/>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5"/>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6"/>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6"/>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6"/>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6"/>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6"/>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6"/>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6"/>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6"/>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6"/>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6"/>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6"/>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5"/>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5"/>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6"/>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6"/>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5"/>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6"/>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6"/>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6"/>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5"/>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6"/>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6"/>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6"/>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5"/>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6"/>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4" t="s">
        <v>95</v>
      </c>
      <c r="S613" s="3744" t="s">
        <v>97</v>
      </c>
      <c r="T613" s="3744"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4" t="s">
        <v>2578</v>
      </c>
      <c r="S614" s="3744" t="s">
        <v>634</v>
      </c>
      <c r="T614" s="3747"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6"/>
      <c r="R615" s="3744" t="s">
        <v>2579</v>
      </c>
      <c r="S615" s="3744" t="s">
        <v>321</v>
      </c>
      <c r="T615" s="3747"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4" t="s">
        <v>2580</v>
      </c>
      <c r="S616" s="3744" t="s">
        <v>2499</v>
      </c>
      <c r="T616" s="3747"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4" t="s">
        <v>2581</v>
      </c>
      <c r="S617" s="3744"/>
      <c r="T617" s="3747"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4" t="s">
        <v>2582</v>
      </c>
      <c r="S618" s="3744" t="s">
        <v>2023</v>
      </c>
      <c r="T618" s="3747"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4" t="s">
        <v>2583</v>
      </c>
      <c r="S619" s="3744" t="s">
        <v>2499</v>
      </c>
      <c r="T619" s="3747"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4" t="s">
        <v>2584</v>
      </c>
      <c r="S620" s="3744" t="s">
        <v>1339</v>
      </c>
      <c r="T620" s="3747"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4" t="s">
        <v>2585</v>
      </c>
      <c r="S621" s="3744" t="s">
        <v>2025</v>
      </c>
      <c r="T621" s="3747"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4" t="s">
        <v>2586</v>
      </c>
      <c r="S622" s="3744" t="s">
        <v>672</v>
      </c>
      <c r="T622" s="3747"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4" t="s">
        <v>2587</v>
      </c>
      <c r="S623" s="3744" t="s">
        <v>634</v>
      </c>
      <c r="T623" s="3747"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4" t="s">
        <v>2588</v>
      </c>
      <c r="S624" s="3744" t="s">
        <v>2188</v>
      </c>
      <c r="T624" s="3747"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4" t="s">
        <v>2589</v>
      </c>
      <c r="S625" s="3744" t="s">
        <v>2548</v>
      </c>
      <c r="T625" s="3747"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4" t="s">
        <v>2260</v>
      </c>
      <c r="S626" s="3744" t="s">
        <v>2545</v>
      </c>
      <c r="T626" s="3747"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4" t="s">
        <v>2590</v>
      </c>
      <c r="S627" s="3744" t="s">
        <v>2188</v>
      </c>
      <c r="T627" s="3747"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4" t="s">
        <v>2591</v>
      </c>
      <c r="S628" s="3744" t="s">
        <v>2502</v>
      </c>
      <c r="T628" s="3747"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5"/>
      <c r="R629" s="3744" t="s">
        <v>2592</v>
      </c>
      <c r="S629" s="3744" t="s">
        <v>2023</v>
      </c>
      <c r="T629" s="3747"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4" t="s">
        <v>1055</v>
      </c>
      <c r="S630" s="3744" t="s">
        <v>1468</v>
      </c>
      <c r="T630" s="3747"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6"/>
      <c r="R631" s="3744" t="s">
        <v>913</v>
      </c>
      <c r="S631" s="3744" t="s">
        <v>1113</v>
      </c>
      <c r="T631" s="3747"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4" t="s">
        <v>1056</v>
      </c>
      <c r="S632" s="3744" t="s">
        <v>634</v>
      </c>
      <c r="T632" s="3747"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4" t="s">
        <v>1057</v>
      </c>
      <c r="S633" s="3744" t="s">
        <v>1926</v>
      </c>
      <c r="T633" s="3747"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6"/>
      <c r="R634" s="3744" t="s">
        <v>1058</v>
      </c>
      <c r="S634" s="3744" t="s">
        <v>2021</v>
      </c>
      <c r="T634" s="3747"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4" t="s">
        <v>1059</v>
      </c>
      <c r="S635" s="3744" t="s">
        <v>1106</v>
      </c>
      <c r="T635" s="3747"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8"/>
      <c r="R636" s="3744" t="s">
        <v>1060</v>
      </c>
      <c r="S636" s="3744" t="s">
        <v>1532</v>
      </c>
      <c r="T636" s="3747"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4" t="s">
        <v>1061</v>
      </c>
      <c r="S637" s="3744" t="s">
        <v>2499</v>
      </c>
      <c r="T637" s="3747"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6"/>
      <c r="R638" s="3744" t="s">
        <v>1062</v>
      </c>
      <c r="S638" s="3744" t="s">
        <v>160</v>
      </c>
      <c r="T638" s="3747"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6"/>
      <c r="R639" s="3744" t="s">
        <v>1063</v>
      </c>
      <c r="S639" s="3744" t="s">
        <v>1346</v>
      </c>
      <c r="T639" s="3747"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4" t="s">
        <v>1064</v>
      </c>
      <c r="S640" s="3744" t="s">
        <v>1532</v>
      </c>
      <c r="T640" s="3747"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4" t="s">
        <v>1065</v>
      </c>
      <c r="S641" s="3744" t="s">
        <v>1120</v>
      </c>
      <c r="T641" s="3747"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4" t="s">
        <v>1066</v>
      </c>
      <c r="S642" s="3744" t="s">
        <v>2021</v>
      </c>
      <c r="T642" s="3747"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7"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4" t="s">
        <v>1067</v>
      </c>
      <c r="S644" s="3744" t="s">
        <v>2502</v>
      </c>
      <c r="T644" s="3747"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4" t="s">
        <v>1619</v>
      </c>
      <c r="S645" s="3744" t="s">
        <v>2545</v>
      </c>
      <c r="T645" s="3747"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4" t="s">
        <v>1068</v>
      </c>
      <c r="S646" s="3744"/>
      <c r="T646" s="3747"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4" t="s">
        <v>185</v>
      </c>
      <c r="S647" s="3744" t="s">
        <v>160</v>
      </c>
      <c r="T647" s="3747"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4" t="s">
        <v>1069</v>
      </c>
      <c r="S648" s="3744" t="s">
        <v>176</v>
      </c>
      <c r="T648" s="3747"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4" t="s">
        <v>2301</v>
      </c>
      <c r="S649" s="3744" t="s">
        <v>1218</v>
      </c>
      <c r="T649" s="3747"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4" t="s">
        <v>1070</v>
      </c>
      <c r="S650" s="3744" t="s">
        <v>634</v>
      </c>
      <c r="T650" s="3747"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4" t="s">
        <v>1071</v>
      </c>
      <c r="S651" s="3744" t="s">
        <v>634</v>
      </c>
      <c r="T651" s="3747"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4" t="s">
        <v>1072</v>
      </c>
      <c r="S652" s="3744" t="s">
        <v>634</v>
      </c>
      <c r="T652" s="3747"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4" t="s">
        <v>1073</v>
      </c>
      <c r="S653" s="3744" t="s">
        <v>634</v>
      </c>
      <c r="T653" s="3747"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4" t="s">
        <v>1074</v>
      </c>
      <c r="S654" s="3744" t="s">
        <v>1681</v>
      </c>
      <c r="T654" s="3747"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4" t="s">
        <v>1075</v>
      </c>
      <c r="S655" s="3744" t="s">
        <v>964</v>
      </c>
      <c r="T655" s="3747"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4" t="s">
        <v>1076</v>
      </c>
      <c r="S656" s="3744" t="s">
        <v>123</v>
      </c>
      <c r="T656" s="3747"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6"/>
      <c r="R657" s="3744" t="s">
        <v>1077</v>
      </c>
      <c r="S657" s="3744" t="s">
        <v>634</v>
      </c>
      <c r="T657" s="3747"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4" t="s">
        <v>1078</v>
      </c>
      <c r="S658" s="3744" t="s">
        <v>318</v>
      </c>
      <c r="T658" s="3747"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4" t="s">
        <v>1079</v>
      </c>
      <c r="S659" s="3744" t="s">
        <v>322</v>
      </c>
      <c r="T659" s="3747"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4" t="s">
        <v>840</v>
      </c>
      <c r="S660" s="3744" t="s">
        <v>1325</v>
      </c>
      <c r="T660" s="3747"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4" t="s">
        <v>1080</v>
      </c>
      <c r="S661" s="3744" t="s">
        <v>672</v>
      </c>
      <c r="T661" s="3747"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4" t="s">
        <v>1081</v>
      </c>
      <c r="S662" s="3744" t="s">
        <v>1532</v>
      </c>
      <c r="T662" s="3747"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4" t="s">
        <v>1082</v>
      </c>
      <c r="S663" s="3744" t="s">
        <v>634</v>
      </c>
      <c r="T663" s="3747"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4" t="s">
        <v>1083</v>
      </c>
      <c r="S664" s="3744" t="s">
        <v>664</v>
      </c>
      <c r="T664" s="3747"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4" t="s">
        <v>1084</v>
      </c>
      <c r="S665" s="3744" t="s">
        <v>160</v>
      </c>
      <c r="T665" s="3747"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5"/>
      <c r="R666" s="3744" t="s">
        <v>1085</v>
      </c>
      <c r="S666" s="3744" t="s">
        <v>1926</v>
      </c>
      <c r="T666" s="3747"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6"/>
      <c r="R667" s="3744" t="s">
        <v>1086</v>
      </c>
      <c r="S667" s="3744" t="s">
        <v>2021</v>
      </c>
      <c r="T667" s="3747"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4" t="s">
        <v>1087</v>
      </c>
      <c r="S668" s="3744" t="s">
        <v>634</v>
      </c>
      <c r="T668" s="3747"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4" t="s">
        <v>1088</v>
      </c>
      <c r="S669" s="3744" t="s">
        <v>1681</v>
      </c>
      <c r="T669" s="3747"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6"/>
      <c r="R670" s="3744" t="s">
        <v>1089</v>
      </c>
      <c r="S670" s="3744" t="s">
        <v>2502</v>
      </c>
      <c r="T670" s="3747"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4" t="s">
        <v>1090</v>
      </c>
      <c r="S671" s="3744" t="s">
        <v>160</v>
      </c>
      <c r="T671" s="3747"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4" t="s">
        <v>1091</v>
      </c>
      <c r="S672" s="3744" t="s">
        <v>160</v>
      </c>
      <c r="T672" s="3747"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6"/>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6"/>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6"/>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6"/>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6"/>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6"/>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8"/>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5"/>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6"/>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6"/>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5"/>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6"/>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5"/>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6"/>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6"/>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NFDqLKS2hNJYLsmUX9MsoyoYgAUZyIbvPOVJstv9rS7Te9mWHzgoChukRCt0WyVErBJUITvkGl82+mQdvr73Fg==" saltValue="iK5w9hjkoqG8XPg9TMH2m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8.85546875" defaultRowHeight="12.75"/>
  <cols>
    <col min="1" max="1" width="5.140625" style="580" customWidth="1"/>
    <col min="2" max="4" width="10.7109375" style="580" customWidth="1"/>
    <col min="5" max="5" width="15.85546875" style="580" customWidth="1"/>
    <col min="6" max="8" width="10.7109375" style="580" customWidth="1"/>
    <col min="9" max="16384" width="8.85546875" style="580"/>
  </cols>
  <sheetData>
    <row r="1" spans="1:8" ht="21.95" customHeight="1">
      <c r="B1" s="2247" t="str">
        <f>Overview!C8</f>
        <v>Abbington on Cheshire Bridge</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4925.737603411133</v>
      </c>
    </row>
    <row r="9" spans="1:8" ht="21" customHeight="1">
      <c r="D9" s="1404">
        <v>2</v>
      </c>
      <c r="E9" s="1405">
        <f>-'Part VII-Pro Forma'!C23/12</f>
        <v>4925.737603411133</v>
      </c>
    </row>
    <row r="10" spans="1:8" ht="21" customHeight="1">
      <c r="D10" s="1404">
        <v>3</v>
      </c>
      <c r="E10" s="1405">
        <f>-'Part VII-Pro Forma'!D23/12</f>
        <v>4925.737603411133</v>
      </c>
    </row>
    <row r="11" spans="1:8" ht="21" customHeight="1">
      <c r="D11" s="1406">
        <v>4</v>
      </c>
      <c r="E11" s="1405">
        <f>-'Part VII-Pro Forma'!E23/12</f>
        <v>4925.737603411133</v>
      </c>
    </row>
    <row r="12" spans="1:8" ht="21" customHeight="1">
      <c r="D12" s="1406">
        <v>5</v>
      </c>
      <c r="E12" s="1405">
        <f>-'Part VII-Pro Forma'!F23/12</f>
        <v>4925.737603411133</v>
      </c>
    </row>
    <row r="13" spans="1:8" ht="21" customHeight="1">
      <c r="D13" s="1404">
        <v>6</v>
      </c>
      <c r="E13" s="1405">
        <f>-'Part VII-Pro Forma'!G23/12</f>
        <v>4925.737603411133</v>
      </c>
    </row>
    <row r="14" spans="1:8" ht="21" customHeight="1">
      <c r="D14" s="1404">
        <v>7</v>
      </c>
      <c r="E14" s="1405">
        <f>-'Part VII-Pro Forma'!H23/12</f>
        <v>4925.737603411133</v>
      </c>
    </row>
    <row r="15" spans="1:8" ht="21" customHeight="1">
      <c r="D15" s="1406">
        <v>8</v>
      </c>
      <c r="E15" s="1405">
        <f>-'Part VII-Pro Forma'!I23/12</f>
        <v>4925.737603411133</v>
      </c>
    </row>
    <row r="16" spans="1:8" ht="21" customHeight="1">
      <c r="D16" s="1404">
        <v>9</v>
      </c>
      <c r="E16" s="1405">
        <f>-'Part VII-Pro Forma'!J23/12</f>
        <v>4925.737603411133</v>
      </c>
    </row>
    <row r="17" spans="4:8" ht="21" customHeight="1">
      <c r="D17" s="1404">
        <v>10</v>
      </c>
      <c r="E17" s="1405">
        <f>-'Part VII-Pro Forma'!K23/12</f>
        <v>4925.737603411133</v>
      </c>
    </row>
    <row r="18" spans="4:8" ht="21" customHeight="1">
      <c r="D18" s="1406">
        <v>11</v>
      </c>
      <c r="E18" s="1405">
        <f>-'Part VII-Pro Forma'!B53/12</f>
        <v>4925.737603411133</v>
      </c>
    </row>
    <row r="19" spans="4:8" ht="21" customHeight="1">
      <c r="D19" s="1404">
        <v>12</v>
      </c>
      <c r="E19" s="1405">
        <f>-'Part VII-Pro Forma'!C53/12</f>
        <v>4925.737603411133</v>
      </c>
    </row>
    <row r="20" spans="4:8" ht="21" customHeight="1">
      <c r="D20" s="1404">
        <v>13</v>
      </c>
      <c r="E20" s="1405">
        <f>-'Part VII-Pro Forma'!D53/12</f>
        <v>4925.737603411133</v>
      </c>
    </row>
    <row r="21" spans="4:8" ht="21" customHeight="1">
      <c r="D21" s="1404">
        <v>14</v>
      </c>
      <c r="E21" s="1405">
        <f>-'Part VII-Pro Forma'!E53/12</f>
        <v>4925.737603411133</v>
      </c>
    </row>
    <row r="22" spans="4:8" ht="21" customHeight="1">
      <c r="D22" s="1404">
        <v>15</v>
      </c>
      <c r="E22" s="1405">
        <f>-'Part VII-Pro Forma'!F53/12</f>
        <v>4925.737603411133</v>
      </c>
    </row>
    <row r="23" spans="4:8" ht="21" customHeight="1">
      <c r="D23" s="1404">
        <v>16</v>
      </c>
      <c r="E23" s="1405">
        <f>-'Part VII-Pro Forma'!G53/12</f>
        <v>4925.737603411133</v>
      </c>
    </row>
    <row r="24" spans="4:8" ht="21" customHeight="1">
      <c r="D24" s="1404">
        <v>17</v>
      </c>
      <c r="E24" s="1405">
        <f>-'Part VII-Pro Forma'!H53/12</f>
        <v>4925.737603411133</v>
      </c>
      <c r="H24" s="580" t="s">
        <v>245</v>
      </c>
    </row>
    <row r="25" spans="4:8" ht="21" customHeight="1">
      <c r="D25" s="1404">
        <v>18</v>
      </c>
      <c r="E25" s="1405">
        <f>-'Part VII-Pro Forma'!I53/12</f>
        <v>4925.737603411133</v>
      </c>
    </row>
    <row r="26" spans="4:8" ht="21" customHeight="1">
      <c r="D26" s="1404">
        <v>19</v>
      </c>
      <c r="E26" s="1405">
        <f>-'Part VII-Pro Forma'!J53/12</f>
        <v>4925.737603411133</v>
      </c>
    </row>
    <row r="27" spans="4:8" ht="21" customHeight="1">
      <c r="D27" s="1404">
        <v>20</v>
      </c>
      <c r="E27" s="1405">
        <f>-'Part VII-Pro Forma'!K53/12</f>
        <v>4925.737603411133</v>
      </c>
    </row>
    <row r="28" spans="4:8" ht="21" customHeight="1">
      <c r="D28" s="1404">
        <v>21</v>
      </c>
      <c r="E28" s="1405">
        <f>-'Part VII-Pro Forma'!B83/12</f>
        <v>4925.737603411133</v>
      </c>
    </row>
    <row r="29" spans="4:8" ht="21" customHeight="1">
      <c r="D29" s="1404">
        <v>22</v>
      </c>
      <c r="E29" s="1405">
        <f>-'Part VII-Pro Forma'!C83/12</f>
        <v>4925.737603411133</v>
      </c>
    </row>
    <row r="30" spans="4:8" ht="21" customHeight="1">
      <c r="D30" s="1404">
        <v>23</v>
      </c>
      <c r="E30" s="1405">
        <f>-'Part VII-Pro Forma'!D83/12</f>
        <v>4925.737603411133</v>
      </c>
    </row>
    <row r="31" spans="4:8" ht="21" customHeight="1">
      <c r="D31" s="1404">
        <v>24</v>
      </c>
      <c r="E31" s="1405">
        <f>-'Part VII-Pro Forma'!E83/12</f>
        <v>4925.737603411133</v>
      </c>
    </row>
    <row r="32" spans="4:8" ht="21" customHeight="1">
      <c r="D32" s="1404">
        <v>25</v>
      </c>
      <c r="E32" s="1405">
        <f>-'Part VII-Pro Forma'!F83/12</f>
        <v>4925.737603411133</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zoomScalePageLayoutView="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42578125" style="809" customWidth="1"/>
    <col min="5" max="5" width="13.7109375" style="809" customWidth="1"/>
    <col min="6" max="6" width="2.7109375" style="809" customWidth="1"/>
    <col min="7" max="7" width="11.7109375" style="809" customWidth="1"/>
    <col min="8" max="8" width="8.42578125" style="809" customWidth="1"/>
    <col min="9" max="9" width="13.7109375" style="809" customWidth="1"/>
    <col min="10" max="10" width="4.7109375" style="809" customWidth="1"/>
    <col min="11" max="11" width="25.7109375" style="809" customWidth="1"/>
    <col min="12" max="256" width="8.85546875" style="809"/>
    <col min="257" max="257" width="11.42578125" style="809" bestFit="1" customWidth="1"/>
    <col min="258" max="258" width="12.42578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42578125" style="809" bestFit="1" customWidth="1"/>
    <col min="514" max="514" width="12.42578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42578125" style="809" bestFit="1" customWidth="1"/>
    <col min="770" max="770" width="12.42578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42578125" style="809" bestFit="1" customWidth="1"/>
    <col min="1026" max="1026" width="12.42578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42578125" style="809" bestFit="1" customWidth="1"/>
    <col min="1282" max="1282" width="12.42578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42578125" style="809" bestFit="1" customWidth="1"/>
    <col min="1538" max="1538" width="12.42578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42578125" style="809" bestFit="1" customWidth="1"/>
    <col min="1794" max="1794" width="12.42578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42578125" style="809" bestFit="1" customWidth="1"/>
    <col min="2050" max="2050" width="12.42578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42578125" style="809" bestFit="1" customWidth="1"/>
    <col min="2306" max="2306" width="12.42578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42578125" style="809" bestFit="1" customWidth="1"/>
    <col min="2562" max="2562" width="12.42578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42578125" style="809" bestFit="1" customWidth="1"/>
    <col min="2818" max="2818" width="12.42578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42578125" style="809" bestFit="1" customWidth="1"/>
    <col min="3074" max="3074" width="12.42578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42578125" style="809" bestFit="1" customWidth="1"/>
    <col min="3330" max="3330" width="12.42578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42578125" style="809" bestFit="1" customWidth="1"/>
    <col min="3586" max="3586" width="12.42578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42578125" style="809" bestFit="1" customWidth="1"/>
    <col min="3842" max="3842" width="12.42578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42578125" style="809" bestFit="1" customWidth="1"/>
    <col min="4098" max="4098" width="12.42578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42578125" style="809" bestFit="1" customWidth="1"/>
    <col min="4354" max="4354" width="12.42578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42578125" style="809" bestFit="1" customWidth="1"/>
    <col min="4610" max="4610" width="12.42578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42578125" style="809" bestFit="1" customWidth="1"/>
    <col min="4866" max="4866" width="12.42578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42578125" style="809" bestFit="1" customWidth="1"/>
    <col min="5122" max="5122" width="12.42578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42578125" style="809" bestFit="1" customWidth="1"/>
    <col min="5378" max="5378" width="12.42578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42578125" style="809" bestFit="1" customWidth="1"/>
    <col min="5634" max="5634" width="12.42578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42578125" style="809" bestFit="1" customWidth="1"/>
    <col min="5890" max="5890" width="12.42578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42578125" style="809" bestFit="1" customWidth="1"/>
    <col min="6146" max="6146" width="12.42578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42578125" style="809" bestFit="1" customWidth="1"/>
    <col min="6402" max="6402" width="12.42578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42578125" style="809" bestFit="1" customWidth="1"/>
    <col min="6658" max="6658" width="12.42578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42578125" style="809" bestFit="1" customWidth="1"/>
    <col min="6914" max="6914" width="12.42578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42578125" style="809" bestFit="1" customWidth="1"/>
    <col min="7170" max="7170" width="12.42578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42578125" style="809" bestFit="1" customWidth="1"/>
    <col min="7426" max="7426" width="12.42578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42578125" style="809" bestFit="1" customWidth="1"/>
    <col min="7682" max="7682" width="12.42578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42578125" style="809" bestFit="1" customWidth="1"/>
    <col min="7938" max="7938" width="12.42578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42578125" style="809" bestFit="1" customWidth="1"/>
    <col min="8194" max="8194" width="12.42578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42578125" style="809" bestFit="1" customWidth="1"/>
    <col min="8450" max="8450" width="12.42578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42578125" style="809" bestFit="1" customWidth="1"/>
    <col min="8706" max="8706" width="12.42578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42578125" style="809" bestFit="1" customWidth="1"/>
    <col min="8962" max="8962" width="12.42578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42578125" style="809" bestFit="1" customWidth="1"/>
    <col min="9218" max="9218" width="12.42578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42578125" style="809" bestFit="1" customWidth="1"/>
    <col min="9474" max="9474" width="12.42578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42578125" style="809" bestFit="1" customWidth="1"/>
    <col min="9730" max="9730" width="12.42578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42578125" style="809" bestFit="1" customWidth="1"/>
    <col min="9986" max="9986" width="12.42578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42578125" style="809" bestFit="1" customWidth="1"/>
    <col min="10242" max="10242" width="12.42578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42578125" style="809" bestFit="1" customWidth="1"/>
    <col min="10498" max="10498" width="12.42578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42578125" style="809" bestFit="1" customWidth="1"/>
    <col min="10754" max="10754" width="12.42578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42578125" style="809" bestFit="1" customWidth="1"/>
    <col min="11010" max="11010" width="12.42578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42578125" style="809" bestFit="1" customWidth="1"/>
    <col min="11266" max="11266" width="12.42578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42578125" style="809" bestFit="1" customWidth="1"/>
    <col min="11522" max="11522" width="12.42578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42578125" style="809" bestFit="1" customWidth="1"/>
    <col min="11778" max="11778" width="12.42578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42578125" style="809" bestFit="1" customWidth="1"/>
    <col min="12034" max="12034" width="12.42578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42578125" style="809" bestFit="1" customWidth="1"/>
    <col min="12290" max="12290" width="12.42578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42578125" style="809" bestFit="1" customWidth="1"/>
    <col min="12546" max="12546" width="12.42578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42578125" style="809" bestFit="1" customWidth="1"/>
    <col min="12802" max="12802" width="12.42578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42578125" style="809" bestFit="1" customWidth="1"/>
    <col min="13058" max="13058" width="12.42578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42578125" style="809" bestFit="1" customWidth="1"/>
    <col min="13314" max="13314" width="12.42578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42578125" style="809" bestFit="1" customWidth="1"/>
    <col min="13570" max="13570" width="12.42578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42578125" style="809" bestFit="1" customWidth="1"/>
    <col min="13826" max="13826" width="12.42578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42578125" style="809" bestFit="1" customWidth="1"/>
    <col min="14082" max="14082" width="12.42578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42578125" style="809" bestFit="1" customWidth="1"/>
    <col min="14338" max="14338" width="12.42578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42578125" style="809" bestFit="1" customWidth="1"/>
    <col min="14594" max="14594" width="12.42578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42578125" style="809" bestFit="1" customWidth="1"/>
    <col min="14850" max="14850" width="12.42578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42578125" style="809" bestFit="1" customWidth="1"/>
    <col min="15106" max="15106" width="12.42578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42578125" style="809" bestFit="1" customWidth="1"/>
    <col min="15362" max="15362" width="12.42578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42578125" style="809" bestFit="1" customWidth="1"/>
    <col min="15618" max="15618" width="12.42578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42578125" style="809" bestFit="1" customWidth="1"/>
    <col min="15874" max="15874" width="12.42578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42578125" style="809" bestFit="1" customWidth="1"/>
    <col min="16130" max="16130" width="12.42578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Abbington on Cheshire Bridge</v>
      </c>
      <c r="B2" s="2262"/>
      <c r="C2" s="2262"/>
      <c r="D2" s="2262"/>
      <c r="E2" s="2262"/>
      <c r="F2" s="2262"/>
      <c r="G2" s="2262"/>
      <c r="H2" s="2262"/>
      <c r="I2" s="2262"/>
      <c r="J2" s="2262"/>
      <c r="K2" s="2262"/>
    </row>
    <row r="3" spans="1:11" ht="9" customHeight="1">
      <c r="A3" s="810"/>
      <c r="B3" s="810"/>
      <c r="C3" s="810"/>
    </row>
    <row r="4" spans="1:11" ht="18">
      <c r="A4" s="811" t="s">
        <v>3576</v>
      </c>
      <c r="B4" s="810"/>
      <c r="C4" s="810"/>
      <c r="K4" s="812"/>
    </row>
    <row r="5" spans="1:11" s="767" customFormat="1" ht="42" customHeight="1">
      <c r="C5" s="2249" t="s">
        <v>4523</v>
      </c>
      <c r="D5" s="2250"/>
      <c r="E5" s="2251"/>
      <c r="F5" s="593"/>
      <c r="G5" s="2249" t="s">
        <v>4524</v>
      </c>
      <c r="H5" s="2250"/>
      <c r="I5" s="2251"/>
      <c r="J5" s="809"/>
      <c r="K5" s="2260" t="s">
        <v>4525</v>
      </c>
    </row>
    <row r="6" spans="1:11" s="814" customFormat="1" ht="15" customHeight="1">
      <c r="A6" s="813" t="s">
        <v>2733</v>
      </c>
      <c r="C6" s="815" t="s">
        <v>3559</v>
      </c>
      <c r="D6" s="815" t="s">
        <v>4526</v>
      </c>
      <c r="E6" s="815" t="s">
        <v>2006</v>
      </c>
      <c r="G6" s="815" t="s">
        <v>3560</v>
      </c>
      <c r="H6" s="815" t="s">
        <v>4527</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6</v>
      </c>
      <c r="E8" s="819">
        <f>C8*D8</f>
        <v>0</v>
      </c>
      <c r="G8" s="817"/>
      <c r="H8" s="818">
        <f>'Part VI-Revenues &amp; Expenses'!$K$62</f>
        <v>6</v>
      </c>
      <c r="I8" s="819">
        <f>G8*H8</f>
        <v>0</v>
      </c>
      <c r="K8" s="816" t="s">
        <v>3561</v>
      </c>
    </row>
    <row r="9" spans="1:11" s="593" customFormat="1" ht="13.5" customHeight="1">
      <c r="A9" s="593" t="s">
        <v>2732</v>
      </c>
      <c r="C9" s="817"/>
      <c r="D9" s="1407">
        <f>'Part VI-Revenues &amp; Expenses'!$L$58</f>
        <v>6</v>
      </c>
      <c r="E9" s="819">
        <f>C9*D9</f>
        <v>0</v>
      </c>
      <c r="G9" s="817"/>
      <c r="H9" s="818">
        <f>'Part VI-Revenues &amp; Expenses'!$L$62</f>
        <v>8</v>
      </c>
      <c r="I9" s="819">
        <f>G9*H9</f>
        <v>0</v>
      </c>
      <c r="K9" s="1414">
        <f>'Part IV-A-Uses of Funds'!$G$132</f>
        <v>11919387</v>
      </c>
    </row>
    <row r="10" spans="1:11" s="593" customFormat="1" ht="13.5" customHeight="1">
      <c r="A10" s="593" t="s">
        <v>2735</v>
      </c>
      <c r="C10" s="817"/>
      <c r="D10" s="1407">
        <f>'Part VI-Revenues &amp; Expenses'!$M$58</f>
        <v>28</v>
      </c>
      <c r="E10" s="819">
        <f>C10*D10</f>
        <v>0</v>
      </c>
      <c r="G10" s="817"/>
      <c r="H10" s="818">
        <f>'Part VI-Revenues &amp; Expenses'!$M$62</f>
        <v>34</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2" t="s">
        <v>3566</v>
      </c>
    </row>
    <row r="12" spans="1:11" ht="13.5" customHeight="1" thickBot="1">
      <c r="A12" s="825" t="s">
        <v>3528</v>
      </c>
      <c r="D12" s="856">
        <f>SUM(D7:D11)</f>
        <v>40</v>
      </c>
      <c r="E12" s="826"/>
      <c r="G12" s="825" t="s">
        <v>1806</v>
      </c>
      <c r="H12" s="1413">
        <f>SUM(H7:H11)</f>
        <v>48</v>
      </c>
      <c r="I12" s="826"/>
      <c r="K12" s="2253"/>
    </row>
    <row r="13" spans="1:11" s="593" customFormat="1" ht="13.5" customHeight="1" thickBot="1">
      <c r="A13" s="825" t="s">
        <v>3103</v>
      </c>
      <c r="B13" s="827"/>
      <c r="E13" s="828">
        <f>SUM(E7:E11)</f>
        <v>0</v>
      </c>
      <c r="G13" s="825" t="s">
        <v>3339</v>
      </c>
      <c r="H13" s="827"/>
      <c r="I13" s="829">
        <f>SUM(I7:I11)</f>
        <v>0</v>
      </c>
      <c r="K13" s="1414">
        <f>'Part VIII-Threshold Criteria'!$P$63</f>
        <v>11941094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4311</v>
      </c>
      <c r="F18" s="1416"/>
      <c r="G18" s="1416"/>
      <c r="H18" s="1416"/>
      <c r="I18" s="1416"/>
      <c r="K18" s="1392">
        <f>Overview!$E$13</f>
        <v>40</v>
      </c>
    </row>
    <row r="19" spans="1:11" s="593" customFormat="1" ht="13.5" customHeight="1">
      <c r="A19" s="593" t="s">
        <v>3104</v>
      </c>
      <c r="E19" s="1410"/>
      <c r="K19" s="680">
        <f>Overview!$C$13</f>
        <v>48</v>
      </c>
    </row>
    <row r="20" spans="1:11" ht="3" customHeight="1">
      <c r="A20" s="831"/>
      <c r="E20" s="1411"/>
    </row>
    <row r="21" spans="1:11" s="593" customFormat="1" ht="13.5" customHeight="1">
      <c r="A21" s="593" t="s">
        <v>3105</v>
      </c>
      <c r="E21" s="1409" t="s">
        <v>3564</v>
      </c>
      <c r="K21" s="832">
        <f>K18/K19</f>
        <v>0.83333333333333337</v>
      </c>
    </row>
    <row r="22" spans="1:11" ht="6.75" customHeight="1">
      <c r="E22" s="1411"/>
    </row>
    <row r="23" spans="1:11" s="593" customFormat="1" ht="13.5" customHeight="1">
      <c r="A23" s="593" t="s">
        <v>3527</v>
      </c>
      <c r="C23" s="833"/>
      <c r="E23" s="1409" t="s">
        <v>3108</v>
      </c>
      <c r="K23" s="680">
        <f>K9</f>
        <v>11919387</v>
      </c>
    </row>
    <row r="24" spans="1:11" s="593" customFormat="1" ht="13.5" customHeight="1">
      <c r="A24" s="834" t="s">
        <v>1773</v>
      </c>
      <c r="E24" s="1410"/>
      <c r="K24" s="820">
        <f>'Part IV-A-Uses of Funds'!$G$122</f>
        <v>185622</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11733765</v>
      </c>
    </row>
    <row r="29" spans="1:11" ht="6.75" customHeight="1">
      <c r="A29" s="831"/>
      <c r="E29" s="1411"/>
      <c r="K29" s="839"/>
    </row>
    <row r="30" spans="1:11" s="593" customFormat="1" ht="15" customHeight="1">
      <c r="A30" s="827" t="s">
        <v>3111</v>
      </c>
      <c r="E30" s="1409" t="s">
        <v>3571</v>
      </c>
      <c r="F30" s="840"/>
      <c r="G30" s="840"/>
      <c r="H30" s="840"/>
      <c r="I30" s="840"/>
      <c r="K30" s="841">
        <f>K21*K28</f>
        <v>9778137.5</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800000</v>
      </c>
    </row>
    <row r="37" spans="1:11" s="593" customFormat="1" ht="9" customHeight="1" thickBot="1">
      <c r="E37" s="846"/>
      <c r="F37" s="846"/>
      <c r="G37" s="846"/>
      <c r="H37" s="846"/>
      <c r="K37" s="847"/>
    </row>
    <row r="38" spans="1:11" s="593" customFormat="1" ht="15.75" customHeight="1">
      <c r="A38" s="2254" t="s">
        <v>3569</v>
      </c>
      <c r="B38" s="2254"/>
      <c r="C38" s="2254"/>
      <c r="D38" s="2255" t="s">
        <v>3106</v>
      </c>
      <c r="E38" s="2255"/>
      <c r="F38" s="2255" t="s">
        <v>3107</v>
      </c>
      <c r="G38" s="2255"/>
      <c r="H38" s="2255"/>
      <c r="I38" s="1470" t="s">
        <v>2848</v>
      </c>
      <c r="K38" s="2256">
        <f>ROUND((D39/F39)*I39,0)</f>
        <v>3</v>
      </c>
    </row>
    <row r="39" spans="1:11" s="593" customFormat="1" ht="15.75" customHeight="1" thickBot="1">
      <c r="A39" s="2254"/>
      <c r="B39" s="2254"/>
      <c r="C39" s="2254"/>
      <c r="D39" s="2258">
        <f>K36</f>
        <v>800000</v>
      </c>
      <c r="E39" s="2258"/>
      <c r="F39" s="2259">
        <f>K28</f>
        <v>11733765</v>
      </c>
      <c r="G39" s="2259"/>
      <c r="H39" s="2259"/>
      <c r="I39" s="848">
        <f>K19</f>
        <v>48</v>
      </c>
      <c r="K39" s="2257"/>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2018-046  Abbington on Cheshire Bridge</v>
      </c>
      <c r="B1" s="2263"/>
      <c r="C1" s="2263"/>
      <c r="D1" s="2263"/>
      <c r="E1" s="2263"/>
      <c r="F1" s="2263"/>
      <c r="G1" s="2263"/>
      <c r="H1" s="2263"/>
    </row>
    <row r="3" spans="1:13" ht="12" customHeight="1">
      <c r="A3" s="2264" t="s">
        <v>3530</v>
      </c>
      <c r="B3" s="2264"/>
      <c r="C3" s="2264"/>
      <c r="D3" s="2264"/>
      <c r="E3" s="2264"/>
      <c r="F3" s="2264"/>
      <c r="G3" s="2264"/>
      <c r="H3" s="2264"/>
      <c r="I3" s="1474"/>
      <c r="J3" s="2266" t="s">
        <v>4312</v>
      </c>
      <c r="K3" s="2266"/>
      <c r="L3" s="882"/>
      <c r="M3" s="882"/>
    </row>
    <row r="4" spans="1:13">
      <c r="J4" s="2266"/>
      <c r="K4" s="2266"/>
    </row>
    <row r="5" spans="1:13" ht="12" customHeight="1">
      <c r="A5" s="809">
        <v>1</v>
      </c>
      <c r="C5" s="809" t="s">
        <v>3113</v>
      </c>
      <c r="E5" s="864" t="str">
        <f>Overview!H9</f>
        <v>Atlanta Abbington on Cheshire Bridge, LP</v>
      </c>
      <c r="J5" s="2266"/>
      <c r="K5" s="2266"/>
    </row>
    <row r="6" spans="1:13" ht="3" customHeight="1">
      <c r="H6" s="826"/>
      <c r="J6" s="2266"/>
      <c r="K6" s="2266"/>
    </row>
    <row r="7" spans="1:13" ht="12" customHeight="1">
      <c r="A7" s="809">
        <v>2</v>
      </c>
      <c r="C7" s="809" t="s">
        <v>3114</v>
      </c>
      <c r="E7" s="864" t="str">
        <f>'Part II-Development Team'!H6</f>
        <v>2964 Peachtree Road NW, Suite 200</v>
      </c>
      <c r="J7" s="2266"/>
      <c r="K7" s="2266"/>
    </row>
    <row r="8" spans="1:13" ht="12" customHeight="1">
      <c r="E8" s="864" t="str">
        <f>+'Part II-Development Team'!H7&amp;","&amp;" "&amp;'Part II-Development Team'!H8&amp;" "&amp;LEFT('Part II-Development Team'!J8,5)</f>
        <v>Atlanta, GA 30305</v>
      </c>
      <c r="J8" s="2266"/>
      <c r="K8" s="2266"/>
    </row>
    <row r="9" spans="1:13" ht="12" customHeight="1">
      <c r="C9" s="809" t="s">
        <v>3115</v>
      </c>
      <c r="E9" s="2265">
        <f>'Part II-Development Team'!L7</f>
        <v>0</v>
      </c>
      <c r="F9" s="2265"/>
      <c r="J9" s="2266"/>
      <c r="K9" s="2266"/>
    </row>
    <row r="10" spans="1:13" ht="12" customHeight="1">
      <c r="C10" s="809" t="s">
        <v>3116</v>
      </c>
      <c r="E10" s="864" t="str">
        <f>'Part II-Development Team'!Q5</f>
        <v>William J. Rea, Jr.</v>
      </c>
    </row>
    <row r="11" spans="1:13" ht="12" customHeight="1">
      <c r="C11" s="809" t="s">
        <v>4317</v>
      </c>
      <c r="E11" s="864" t="str">
        <f>'Part II-Development Team'!L9</f>
        <v>billrea@reaventures.com</v>
      </c>
    </row>
    <row r="12" spans="1:13" ht="12" customHeight="1">
      <c r="C12" s="809" t="s">
        <v>4313</v>
      </c>
      <c r="E12" s="1475">
        <f>'Part II-Development Team'!H9</f>
        <v>4042504093</v>
      </c>
    </row>
    <row r="13" spans="1:13" ht="12" customHeight="1">
      <c r="C13" s="809" t="s">
        <v>4316</v>
      </c>
      <c r="E13" s="1475">
        <f>'Part II-Development Team'!Q7</f>
        <v>4042504093</v>
      </c>
    </row>
    <row r="14" spans="1:13" ht="3" customHeight="1"/>
    <row r="15" spans="1:13" ht="12" customHeight="1">
      <c r="A15" s="809">
        <v>3</v>
      </c>
      <c r="C15" s="809" t="s">
        <v>3117</v>
      </c>
      <c r="E15" s="864" t="str">
        <f>Overview!C8</f>
        <v>Abbington on Cheshire Bridge</v>
      </c>
    </row>
    <row r="16" spans="1:13" ht="12" customHeight="1">
      <c r="C16" s="809" t="s">
        <v>3118</v>
      </c>
      <c r="E16" s="864" t="str">
        <f>'Part I-Project Information'!$F$35</f>
        <v>2070 Cheshire Bridge Road NE</v>
      </c>
    </row>
    <row r="17" spans="1:8" ht="12" customHeight="1">
      <c r="E17" s="864" t="str">
        <f>+'Part I-Project Information'!$F$38&amp;","&amp;" GA "&amp;LEFT('Part I-Project Information'!$J$38,5)</f>
        <v>Atlanta, GA 30324</v>
      </c>
    </row>
    <row r="18" spans="1:8" ht="3" customHeight="1"/>
    <row r="19" spans="1:8" ht="12" customHeight="1">
      <c r="A19" s="809">
        <v>4</v>
      </c>
      <c r="C19" s="809" t="s">
        <v>3119</v>
      </c>
      <c r="E19" s="864" t="str">
        <f>'Part II-Development Team'!H92</f>
        <v>Boyd Management</v>
      </c>
    </row>
    <row r="20" spans="1:8" ht="12" customHeight="1">
      <c r="C20" s="809" t="s">
        <v>3120</v>
      </c>
      <c r="E20" s="864" t="str">
        <f>'Part II-Development Team'!H93</f>
        <v>P.O. Box 23589</v>
      </c>
    </row>
    <row r="21" spans="1:8" ht="12" customHeight="1">
      <c r="E21" s="864" t="str">
        <f>+'Part II-Development Team'!H94&amp;","&amp;" "&amp;'Part II-Development Team'!H95&amp;" "&amp;LEFT('Part II-Development Team'!L95,5)</f>
        <v>Columbia, SC 29224</v>
      </c>
    </row>
    <row r="22" spans="1:8" ht="12" customHeight="1">
      <c r="C22" s="809" t="s">
        <v>4313</v>
      </c>
      <c r="E22" s="1475">
        <f>'Part II-Development Team'!H96</f>
        <v>8034196556</v>
      </c>
    </row>
    <row r="23" spans="1:8" ht="12" customHeight="1">
      <c r="C23" s="809" t="s">
        <v>4316</v>
      </c>
      <c r="E23" s="1475">
        <f>'Part II-Development Team'!Q94</f>
        <v>8034196556</v>
      </c>
    </row>
    <row r="24" spans="1:8" ht="12" customHeight="1">
      <c r="C24" s="809" t="s">
        <v>4317</v>
      </c>
      <c r="E24" s="1475" t="str">
        <f>'Part II-Development Team'!L96</f>
        <v>babbie.jaco@boydmanagement.com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5148953</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204</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Abbington on Cheshire Bridge Partner, LLC</v>
      </c>
    </row>
    <row r="48" spans="1:7" ht="3" customHeight="1">
      <c r="E48" s="864"/>
    </row>
    <row r="49" spans="1:7" ht="12" customHeight="1">
      <c r="A49" s="809">
        <v>15</v>
      </c>
      <c r="C49" s="809" t="s">
        <v>4319</v>
      </c>
      <c r="E49" s="864" t="str">
        <f>'Part II-Development Team'!Q98</f>
        <v>Greg Clark</v>
      </c>
      <c r="G49" s="864" t="str">
        <f>'Part II-Development Team'!H98</f>
        <v>Coleman Talley, LLC</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48</v>
      </c>
    </row>
    <row r="53" spans="1:7" ht="3" customHeight="1">
      <c r="F53" s="854"/>
    </row>
    <row r="54" spans="1:7" ht="12" customHeight="1">
      <c r="A54" s="882">
        <v>17</v>
      </c>
      <c r="B54" s="882"/>
      <c r="C54" s="882" t="s">
        <v>3139</v>
      </c>
      <c r="D54" s="882"/>
      <c r="E54" s="882"/>
      <c r="F54" s="1482">
        <f>'Subsidy Layering WS'!K18</f>
        <v>40</v>
      </c>
      <c r="G54" s="882"/>
    </row>
    <row r="55" spans="1:7" ht="3" customHeight="1">
      <c r="F55" s="854"/>
    </row>
    <row r="56" spans="1:7" ht="12" customHeight="1">
      <c r="A56" s="809">
        <v>18</v>
      </c>
      <c r="C56" s="809" t="s">
        <v>3140</v>
      </c>
      <c r="F56" s="1482">
        <f>'Part VI-Revenues &amp; Expenses'!O61</f>
        <v>0</v>
      </c>
      <c r="G56" s="809" t="s">
        <v>4318</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Atlanta Abbington on Cheshire Bridge,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185622</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64727</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headerFooter>
    <oddFooter>&amp;C&amp;9page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sqref="A1:XFD1048576"/>
    </sheetView>
  </sheetViews>
  <sheetFormatPr defaultColWidth="9.140625" defaultRowHeight="12.75"/>
  <cols>
    <col min="1" max="1" width="23.42578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2018-046  Abbington on Cheshire Bridge</v>
      </c>
      <c r="B2" s="2281"/>
      <c r="C2" s="2281"/>
      <c r="D2" s="2281"/>
      <c r="E2" s="2281"/>
      <c r="F2" s="2281"/>
      <c r="G2" s="2281"/>
      <c r="H2" s="2281"/>
      <c r="I2" s="2281"/>
      <c r="J2" s="2281"/>
    </row>
    <row r="3" spans="1:13" ht="6" customHeight="1">
      <c r="K3" s="2266" t="s">
        <v>4312</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Atlanta Abbington on Cheshire Bridge,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William J. Rea, Jr.</v>
      </c>
      <c r="G15" s="746"/>
      <c r="I15" s="851"/>
    </row>
    <row r="16" spans="1:13" ht="12" customHeight="1">
      <c r="A16" s="864" t="s">
        <v>4528</v>
      </c>
      <c r="C16" s="853" t="str">
        <f>'Part II-Development Team'!Q6</f>
        <v>Manager</v>
      </c>
      <c r="G16" s="746"/>
      <c r="I16" s="851"/>
    </row>
    <row r="17" spans="1:9" ht="3" customHeight="1">
      <c r="G17" s="746"/>
      <c r="H17" s="851"/>
      <c r="I17" s="851"/>
    </row>
    <row r="18" spans="1:9" ht="12" customHeight="1">
      <c r="A18" s="809" t="s">
        <v>3159</v>
      </c>
      <c r="C18" s="853" t="str">
        <f>'Preview term'!$E$7</f>
        <v>2964 Peachtree Road NW, Suite 200</v>
      </c>
      <c r="G18" s="746"/>
      <c r="I18" s="851"/>
    </row>
    <row r="19" spans="1:9" ht="12" customHeight="1">
      <c r="C19" s="853" t="str">
        <f>'Preview term'!$E$8</f>
        <v>Atlanta, GA 30305</v>
      </c>
      <c r="G19" s="746"/>
      <c r="I19" s="851"/>
    </row>
    <row r="20" spans="1:9" ht="3" customHeight="1">
      <c r="G20" s="746"/>
      <c r="H20" s="851"/>
      <c r="I20" s="851"/>
    </row>
    <row r="21" spans="1:9" ht="12" customHeight="1">
      <c r="A21" s="809" t="s">
        <v>3160</v>
      </c>
      <c r="C21" s="853" t="str">
        <f>CONCATENATE('Preview term'!E49," of  ",'Preview term'!G49)</f>
        <v>Greg Clark of  Coleman Talley, LLC</v>
      </c>
      <c r="G21" s="746"/>
      <c r="I21" s="851"/>
    </row>
    <row r="22" spans="1:9" ht="3" customHeight="1">
      <c r="C22" s="853"/>
      <c r="G22" s="746"/>
      <c r="I22" s="851"/>
    </row>
    <row r="23" spans="1:9" ht="12" customHeight="1">
      <c r="A23" s="809" t="s">
        <v>3161</v>
      </c>
      <c r="C23" s="853">
        <f>'Preview term'!E12</f>
        <v>4042504093</v>
      </c>
      <c r="G23" s="746"/>
      <c r="I23" s="851"/>
    </row>
    <row r="24" spans="1:9" ht="3" customHeight="1">
      <c r="C24" s="853"/>
      <c r="G24" s="746"/>
      <c r="I24" s="851"/>
    </row>
    <row r="25" spans="1:9" ht="12" customHeight="1">
      <c r="A25" s="809" t="s">
        <v>3162</v>
      </c>
      <c r="C25" s="1421" t="str">
        <f>'Preview term'!E11</f>
        <v>billrea@reaventures.com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Abbington on Cheshire Bridge</v>
      </c>
      <c r="I28" s="851"/>
    </row>
    <row r="29" spans="1:9" ht="3" customHeight="1">
      <c r="C29" s="853"/>
      <c r="I29" s="851"/>
    </row>
    <row r="30" spans="1:9" ht="12" customHeight="1">
      <c r="A30" s="809" t="s">
        <v>3165</v>
      </c>
      <c r="C30" s="853" t="str">
        <f>'Preview term'!E16</f>
        <v>2070 Cheshire Bridge Road NE</v>
      </c>
      <c r="I30" s="851"/>
    </row>
    <row r="31" spans="1:9">
      <c r="C31" s="851" t="str">
        <f>'Preview term'!E17</f>
        <v>Atlanta, GA 30324</v>
      </c>
      <c r="I31" s="851"/>
    </row>
    <row r="32" spans="1:9" ht="3" customHeight="1">
      <c r="C32" s="746"/>
      <c r="D32" s="746"/>
      <c r="I32" s="746"/>
    </row>
    <row r="33" spans="1:10" ht="12" customHeight="1">
      <c r="A33" s="809" t="s">
        <v>3166</v>
      </c>
      <c r="C33" s="746" t="s">
        <v>3167</v>
      </c>
      <c r="D33" s="1420">
        <f>'Preview term'!F54</f>
        <v>40</v>
      </c>
      <c r="I33" s="746"/>
    </row>
    <row r="34" spans="1:10" ht="12" customHeight="1">
      <c r="C34" s="746" t="s">
        <v>3168</v>
      </c>
      <c r="D34" s="855">
        <f>'Subsidy Layering WS'!H12-'Subsidy Layering WS'!D12</f>
        <v>8</v>
      </c>
      <c r="I34" s="746"/>
    </row>
    <row r="35" spans="1:10" ht="12" customHeight="1">
      <c r="C35" s="746" t="s">
        <v>3169</v>
      </c>
      <c r="D35" s="856">
        <f>SUM(D33:D34)</f>
        <v>48</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3534</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Fulton</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3535</v>
      </c>
      <c r="E52" s="2279"/>
      <c r="F52" s="2279"/>
      <c r="G52" s="2279"/>
      <c r="H52" s="2279"/>
      <c r="I52" s="2279"/>
      <c r="J52" s="2279"/>
    </row>
    <row r="53" spans="1:10" ht="12" customHeight="1">
      <c r="A53" s="858"/>
      <c r="B53" s="858"/>
      <c r="C53" s="858"/>
      <c r="D53" s="863" t="s">
        <v>3536</v>
      </c>
      <c r="E53" s="2280"/>
      <c r="F53" s="2280"/>
      <c r="G53" s="2280"/>
      <c r="H53" s="2280"/>
      <c r="I53" s="2280"/>
      <c r="J53" s="2280"/>
    </row>
    <row r="54" spans="1:10" ht="12" customHeight="1">
      <c r="A54" s="850" t="s">
        <v>3180</v>
      </c>
      <c r="G54" s="746"/>
      <c r="H54" s="746"/>
      <c r="I54" s="746"/>
    </row>
    <row r="55" spans="1:10" ht="18" customHeight="1">
      <c r="A55" s="809" t="s">
        <v>3181</v>
      </c>
      <c r="C55" s="852" t="str">
        <f>Overview!C10</f>
        <v>Abbington on Cheshire Bridge Partner,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2843</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5148953</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204</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438700.86870868062</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Conventional Construction Loan - SunTrust</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Conventional Permanent Loan - SunTrust</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4322</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Rea Ventures Group, LLC</v>
      </c>
      <c r="D130" s="852" t="str">
        <f>Overview!K11</f>
        <v>Brady Development, LLC</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581414</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Boyd Management</v>
      </c>
      <c r="G137" s="746"/>
      <c r="I137" s="746"/>
      <c r="J137" s="881"/>
    </row>
    <row r="138" spans="1:10" ht="3" customHeight="1">
      <c r="C138" s="852"/>
      <c r="G138" s="746"/>
      <c r="I138" s="746"/>
    </row>
    <row r="139" spans="1:10" ht="12" customHeight="1">
      <c r="A139" s="809" t="s">
        <v>3230</v>
      </c>
      <c r="C139" s="853" t="str">
        <f>C8</f>
        <v>Atlanta Abbington on Cheshire Bridge, LP</v>
      </c>
      <c r="G139" s="746"/>
      <c r="I139" s="851"/>
      <c r="J139" s="882"/>
    </row>
    <row r="140" spans="1:10" ht="3" customHeight="1">
      <c r="C140" s="853"/>
      <c r="G140" s="746"/>
      <c r="I140" s="851"/>
      <c r="J140" s="882"/>
    </row>
    <row r="141" spans="1:10" ht="12" customHeight="1">
      <c r="A141" s="809" t="s">
        <v>3231</v>
      </c>
      <c r="C141" s="853" t="str">
        <f>C18</f>
        <v>2964 Peachtree Road NW, Suite 200</v>
      </c>
      <c r="G141" s="746"/>
      <c r="I141" s="851"/>
      <c r="J141" s="882"/>
    </row>
    <row r="142" spans="1:10">
      <c r="C142" s="853" t="str">
        <f>C19</f>
        <v>Atlanta, GA 30305</v>
      </c>
      <c r="G142" s="746"/>
      <c r="I142" s="851"/>
      <c r="J142" s="882"/>
    </row>
    <row r="143" spans="1:10" ht="3" customHeight="1">
      <c r="C143" s="883"/>
      <c r="G143" s="746"/>
      <c r="I143" s="851"/>
      <c r="J143" s="882"/>
    </row>
    <row r="144" spans="1:10" ht="12" customHeight="1">
      <c r="A144" s="809" t="s">
        <v>3232</v>
      </c>
      <c r="C144" s="853" t="str">
        <f>Overview!H10</f>
        <v>SunTrust Community Capital, LLC</v>
      </c>
      <c r="G144" s="746"/>
      <c r="I144" s="851"/>
      <c r="J144" s="881"/>
    </row>
    <row r="145" spans="1:10" ht="3" customHeight="1">
      <c r="C145" s="853"/>
      <c r="G145" s="746"/>
      <c r="I145" s="851"/>
      <c r="J145" s="882"/>
    </row>
    <row r="146" spans="1:10" ht="12" customHeight="1">
      <c r="A146" s="809" t="s">
        <v>3233</v>
      </c>
      <c r="C146" s="853" t="str">
        <f>Overview!K10</f>
        <v>SunTrust Community Capital, LLC</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4"/>
      <c r="F164" s="2274"/>
      <c r="G164" s="2274"/>
      <c r="I164" s="746"/>
    </row>
    <row r="165" spans="1:13" ht="3" customHeight="1">
      <c r="E165" s="746"/>
      <c r="G165" s="746"/>
      <c r="I165" s="746"/>
    </row>
    <row r="166" spans="1:13" ht="12" customHeight="1">
      <c r="A166" s="809" t="s">
        <v>3242</v>
      </c>
      <c r="C166" s="809" t="s">
        <v>3243</v>
      </c>
      <c r="E166" s="885">
        <f>'Preview term'!F71</f>
        <v>185622</v>
      </c>
      <c r="G166" s="746"/>
      <c r="I166" s="746"/>
    </row>
    <row r="167" spans="1:13" ht="12" customHeight="1">
      <c r="C167" s="809" t="s">
        <v>3541</v>
      </c>
      <c r="E167" s="2274"/>
      <c r="F167" s="2274"/>
      <c r="G167" s="2274"/>
      <c r="I167" s="746"/>
    </row>
    <row r="168" spans="1:13" ht="12" customHeight="1">
      <c r="C168" s="809" t="s">
        <v>3244</v>
      </c>
      <c r="E168" s="852" t="s">
        <v>2843</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12000</v>
      </c>
      <c r="F172" s="851" t="s">
        <v>3247</v>
      </c>
      <c r="J172" s="882"/>
      <c r="K172" s="882"/>
      <c r="L172" s="882"/>
      <c r="M172" s="882"/>
    </row>
    <row r="173" spans="1:13">
      <c r="E173" s="885">
        <f>E172/12</f>
        <v>1000</v>
      </c>
      <c r="F173" s="746" t="s">
        <v>3099</v>
      </c>
    </row>
    <row r="174" spans="1:13" ht="12" customHeight="1">
      <c r="C174" s="809" t="s">
        <v>3542</v>
      </c>
      <c r="E174" s="2274"/>
      <c r="F174" s="2274"/>
      <c r="G174" s="2274"/>
      <c r="I174" s="746"/>
    </row>
    <row r="175" spans="1:13" ht="12" customHeight="1">
      <c r="C175" s="809" t="s">
        <v>3248</v>
      </c>
      <c r="E175" s="746" t="s">
        <v>3011</v>
      </c>
      <c r="I175" s="746"/>
    </row>
    <row r="176" spans="1:13" ht="12" customHeight="1">
      <c r="C176" s="809" t="s">
        <v>3249</v>
      </c>
      <c r="E176" s="746" t="s">
        <v>2843</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3543</v>
      </c>
      <c r="E180" s="746" t="s">
        <v>3188</v>
      </c>
      <c r="I180" s="746"/>
    </row>
    <row r="181" spans="1:10" ht="12" customHeight="1">
      <c r="C181" s="809" t="s">
        <v>3251</v>
      </c>
      <c r="E181" s="746" t="s">
        <v>2843</v>
      </c>
      <c r="I181" s="746"/>
    </row>
    <row r="182" spans="1:10" ht="3" customHeight="1">
      <c r="G182" s="746"/>
      <c r="H182" s="746"/>
      <c r="I182" s="746"/>
    </row>
    <row r="183" spans="1:10" ht="12" customHeight="1">
      <c r="A183" s="809" t="s">
        <v>3349</v>
      </c>
      <c r="C183" s="809" t="s">
        <v>3350</v>
      </c>
      <c r="E183" s="885">
        <f>'Preview term'!F75</f>
        <v>64727</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5">
        <f>'Part VIII-Threshold Criteria'!E393</f>
        <v>0</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headerFooter>
    <oddFooter>&amp;C&amp;9Page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G13" sqref="G13:H13"/>
    </sheetView>
  </sheetViews>
  <sheetFormatPr defaultColWidth="9.140625" defaultRowHeight="12.75"/>
  <cols>
    <col min="1" max="1" width="3.42578125" style="809" customWidth="1"/>
    <col min="2" max="2" width="4.28515625" style="809" customWidth="1"/>
    <col min="3" max="3" width="18.42578125" style="809" customWidth="1"/>
    <col min="4" max="4" width="2.7109375" style="809" customWidth="1"/>
    <col min="5" max="5" width="6.42578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Abbington on Cheshire Bridge</v>
      </c>
    </row>
    <row r="2" spans="1:11">
      <c r="A2" s="746" t="s">
        <v>3259</v>
      </c>
      <c r="H2" s="809" t="str">
        <f>Overview!E8</f>
        <v>2018-046</v>
      </c>
    </row>
    <row r="3" spans="1:11" ht="3" customHeight="1"/>
    <row r="4" spans="1:11" ht="51.75" customHeight="1">
      <c r="A4" s="2268" t="s">
        <v>3359</v>
      </c>
      <c r="B4" s="2268"/>
      <c r="C4" s="2268"/>
      <c r="D4" s="2268"/>
      <c r="E4" s="2268"/>
      <c r="F4" s="2268"/>
      <c r="G4" s="2268"/>
      <c r="H4" s="2268"/>
      <c r="J4" s="1444">
        <f>SUM('Part VII-Pro Forma'!B14:B16)/12</f>
        <v>34363.9836</v>
      </c>
      <c r="K4" s="1443" t="s">
        <v>4529</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9852215</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2843</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3547</v>
      </c>
      <c r="F30" s="2268"/>
      <c r="G30" s="2268"/>
      <c r="H30" s="2268"/>
    </row>
    <row r="31" spans="1:8" ht="12.75" customHeight="1">
      <c r="D31" s="896" t="s">
        <v>3366</v>
      </c>
      <c r="E31" s="2268" t="s">
        <v>3548</v>
      </c>
      <c r="F31" s="2268"/>
      <c r="G31" s="2268"/>
      <c r="H31" s="226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3547</v>
      </c>
      <c r="F37" s="2268"/>
      <c r="G37" s="2268"/>
      <c r="H37" s="2268"/>
    </row>
    <row r="38" spans="1:11" ht="12.75" customHeight="1">
      <c r="D38" s="896" t="s">
        <v>3366</v>
      </c>
      <c r="E38" s="2268" t="s">
        <v>3548</v>
      </c>
      <c r="F38" s="2268"/>
      <c r="G38" s="2268"/>
      <c r="H38" s="226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3547</v>
      </c>
      <c r="F44" s="2268"/>
      <c r="G44" s="2268"/>
      <c r="H44" s="2268"/>
    </row>
    <row r="45" spans="1:11" ht="12.75" customHeight="1">
      <c r="D45" s="896" t="s">
        <v>3366</v>
      </c>
      <c r="E45" s="2268" t="s">
        <v>3548</v>
      </c>
      <c r="F45" s="2268"/>
      <c r="G45" s="2268"/>
      <c r="H45" s="2268"/>
    </row>
    <row r="46" spans="1:11" ht="9" customHeight="1"/>
    <row r="47" spans="1:11" ht="7.5" customHeight="1">
      <c r="E47" s="2268"/>
      <c r="F47" s="2268"/>
      <c r="G47" s="2268"/>
      <c r="H47" s="2268"/>
    </row>
    <row r="48" spans="1:11" ht="24.75" customHeight="1">
      <c r="A48" s="2284" t="s">
        <v>4293</v>
      </c>
      <c r="B48" s="2284"/>
      <c r="C48" s="2284"/>
      <c r="D48" s="2284"/>
      <c r="E48" s="2284"/>
      <c r="F48" s="2284"/>
      <c r="G48" s="2284"/>
      <c r="H48" s="2284"/>
    </row>
    <row r="49" spans="1:11" ht="9" customHeight="1"/>
    <row r="50" spans="1:11" ht="26.25" customHeight="1">
      <c r="A50" s="2285" t="s">
        <v>3549</v>
      </c>
      <c r="B50" s="2285"/>
      <c r="C50" s="2285"/>
      <c r="D50" s="2285"/>
      <c r="E50" s="2285"/>
      <c r="F50" s="2285"/>
      <c r="G50" s="2285"/>
      <c r="H50" s="2285"/>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3556</v>
      </c>
      <c r="F55" s="2268"/>
      <c r="G55" s="2268"/>
      <c r="H55" s="226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3556</v>
      </c>
      <c r="F60" s="2268"/>
      <c r="G60" s="2268"/>
      <c r="H60" s="226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3556</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headerFooter>
    <oddFooter>&amp;C&amp;9page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I15" sqref="I15"/>
    </sheetView>
  </sheetViews>
  <sheetFormatPr defaultColWidth="8.8554687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8.85546875" style="1490"/>
    <col min="7" max="7" width="11" style="1490" customWidth="1"/>
    <col min="8" max="8" width="14.42578125" style="1490" customWidth="1"/>
    <col min="9" max="9" width="10.140625" style="1490" customWidth="1"/>
    <col min="10" max="16384" width="8.85546875" style="1490"/>
  </cols>
  <sheetData>
    <row r="1" spans="2:13" ht="15.75">
      <c r="B1" s="2305" t="s">
        <v>4336</v>
      </c>
      <c r="C1" s="2305"/>
      <c r="D1" s="2305"/>
      <c r="E1" s="2305"/>
      <c r="F1" s="2305"/>
      <c r="G1" s="2305"/>
      <c r="H1" s="2305"/>
      <c r="I1" s="2305"/>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Atlanta Abbington on Cheshire Bridge, LP</v>
      </c>
      <c r="C5" s="2308"/>
      <c r="D5" s="2308"/>
      <c r="E5" s="2318"/>
      <c r="F5" s="2319"/>
      <c r="G5" s="2315" t="str">
        <f>'Closing term sheet'!C28</f>
        <v>Abbington on Cheshire Bridge</v>
      </c>
      <c r="H5" s="2316"/>
      <c r="I5" s="2317"/>
      <c r="K5" s="809"/>
    </row>
    <row r="6" spans="2:13" ht="4.5" customHeight="1">
      <c r="D6" s="1494"/>
      <c r="E6" s="1494"/>
      <c r="F6" s="1494"/>
      <c r="G6" s="1494"/>
      <c r="H6" s="1494"/>
      <c r="I6" s="1494"/>
      <c r="K6" s="809"/>
    </row>
    <row r="7" spans="2:13">
      <c r="B7" s="2309" t="s">
        <v>3269</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3270</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4327</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290" t="s">
        <v>4344</v>
      </c>
      <c r="I35" s="2291"/>
    </row>
    <row r="36" spans="2:9">
      <c r="B36" s="1522" t="s">
        <v>4343</v>
      </c>
      <c r="C36" s="1520"/>
      <c r="D36" s="1520"/>
      <c r="E36" s="1495"/>
      <c r="F36" s="1523"/>
      <c r="G36" s="1524"/>
      <c r="H36" s="2290"/>
      <c r="I36" s="2291"/>
    </row>
    <row r="37" spans="2:9">
      <c r="B37" s="1522" t="s">
        <v>4341</v>
      </c>
      <c r="D37" s="1520"/>
      <c r="E37" s="1495"/>
      <c r="F37" s="1525"/>
      <c r="G37" s="1524"/>
      <c r="H37" s="2290"/>
      <c r="I37" s="2291"/>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3282</v>
      </c>
      <c r="C48" s="1520"/>
      <c r="D48" s="1520" t="s">
        <v>3283</v>
      </c>
      <c r="E48" s="1495"/>
      <c r="F48" s="2299" t="str">
        <f>'Closing term sheet'!$C$30</f>
        <v>2070 Cheshire Bridge Road NE</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4346</v>
      </c>
      <c r="C52" s="2322" t="str">
        <f>'Part I-Project Information'!F38</f>
        <v>Atlanta</v>
      </c>
      <c r="D52" s="2323"/>
      <c r="E52" s="1539" t="s">
        <v>4347</v>
      </c>
      <c r="F52" s="1497" t="s">
        <v>856</v>
      </c>
      <c r="G52" s="1539" t="s">
        <v>4348</v>
      </c>
      <c r="H52" s="1540">
        <f>'Part I-Project Information'!J38</f>
        <v>303244242</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40</v>
      </c>
      <c r="E55" s="1543"/>
      <c r="F55" s="866" t="s">
        <v>3287</v>
      </c>
      <c r="G55" s="1495"/>
      <c r="H55" s="1495"/>
      <c r="I55" s="1505"/>
    </row>
    <row r="56" spans="2:9">
      <c r="B56" s="1531" t="s">
        <v>4514</v>
      </c>
      <c r="D56" s="1544">
        <f>'Closing term sheet'!$D$62</f>
        <v>5148953</v>
      </c>
      <c r="E56" s="1545"/>
      <c r="F56" s="866" t="s">
        <v>3288</v>
      </c>
      <c r="G56" s="1495"/>
      <c r="H56" s="1495"/>
      <c r="I56" s="1505"/>
    </row>
    <row r="57" spans="2:9">
      <c r="B57" s="1522" t="s">
        <v>4513</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48</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5148953</v>
      </c>
      <c r="G84" s="2295"/>
      <c r="H84" s="1495"/>
      <c r="I84" s="1505"/>
    </row>
    <row r="85" spans="2:9">
      <c r="B85" s="1503"/>
      <c r="C85" s="886" t="s">
        <v>3306</v>
      </c>
      <c r="D85" s="1495"/>
      <c r="E85" s="1495"/>
      <c r="F85" s="2321" t="e">
        <f>'Part III-Sources of Funds'!I44+'Part III-Sources of Funds'!I45</f>
        <v>#N/A</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t="e">
        <f>SUM(F84:G88)</f>
        <v>#N/A</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t="e">
        <f>+F103+F101+F95+F89</f>
        <v>#N/A</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headerFooter>
    <oddFooter>&amp;C&amp;9page &amp;P of &amp;N</oddFooter>
  </headerFooter>
  <rowBreaks count="1" manualBreakCount="1">
    <brk id="7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2769</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4127</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3702</v>
      </c>
      <c r="C13" s="2913"/>
      <c r="D13" s="2913"/>
      <c r="E13" s="2913"/>
      <c r="F13" s="2913"/>
      <c r="G13" s="2913"/>
      <c r="H13" s="2913"/>
      <c r="I13" s="2913"/>
      <c r="J13" s="2913"/>
      <c r="K13" s="2913"/>
      <c r="L13" s="2913"/>
      <c r="M13" s="2913"/>
    </row>
    <row r="14" spans="1:26" ht="47.25" customHeight="1">
      <c r="A14" s="2912" t="s">
        <v>1751</v>
      </c>
      <c r="B14" s="2913" t="s">
        <v>3703</v>
      </c>
      <c r="C14" s="2913"/>
      <c r="D14" s="2913"/>
      <c r="E14" s="2913"/>
      <c r="F14" s="2913"/>
      <c r="G14" s="2913"/>
      <c r="H14" s="2913"/>
      <c r="I14" s="2913"/>
      <c r="J14" s="2913"/>
      <c r="K14" s="2913"/>
      <c r="L14" s="2913"/>
      <c r="M14" s="2913"/>
    </row>
    <row r="15" spans="1:26" ht="117" customHeight="1">
      <c r="A15" s="2912" t="s">
        <v>1752</v>
      </c>
      <c r="B15" s="2913" t="s">
        <v>3704</v>
      </c>
      <c r="C15" s="2913"/>
      <c r="D15" s="2913"/>
      <c r="E15" s="2913"/>
      <c r="F15" s="2913"/>
      <c r="G15" s="2913"/>
      <c r="H15" s="2913"/>
      <c r="I15" s="2913"/>
      <c r="J15" s="2913"/>
      <c r="K15" s="2913"/>
      <c r="L15" s="2913"/>
      <c r="M15" s="2913"/>
    </row>
    <row r="16" spans="1:26" ht="147" customHeight="1">
      <c r="A16" s="2912" t="s">
        <v>2381</v>
      </c>
      <c r="B16" s="2913" t="s">
        <v>3480</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3479</v>
      </c>
      <c r="C18" s="2913"/>
      <c r="D18" s="2913"/>
      <c r="E18" s="2913"/>
      <c r="F18" s="2913"/>
      <c r="G18" s="2913"/>
      <c r="H18" s="2913"/>
      <c r="I18" s="2913"/>
      <c r="J18" s="2913"/>
      <c r="K18" s="2913"/>
      <c r="L18" s="2913"/>
      <c r="M18" s="2913"/>
    </row>
    <row r="19" spans="1:13" ht="48.75" customHeight="1">
      <c r="A19" s="2912" t="s">
        <v>99</v>
      </c>
      <c r="B19" s="2914" t="s">
        <v>3705</v>
      </c>
      <c r="C19" s="2914"/>
      <c r="D19" s="2914"/>
      <c r="E19" s="2914"/>
      <c r="F19" s="2914"/>
      <c r="G19" s="2914"/>
      <c r="H19" s="2914"/>
      <c r="I19" s="2914"/>
      <c r="J19" s="2914"/>
      <c r="K19" s="2914"/>
      <c r="L19" s="2914"/>
      <c r="M19" s="2914"/>
    </row>
    <row r="20" spans="1:13" ht="50.25" customHeight="1">
      <c r="A20" s="2912" t="s">
        <v>516</v>
      </c>
      <c r="B20" s="2913" t="s">
        <v>3482</v>
      </c>
      <c r="C20" s="2913"/>
      <c r="D20" s="2913"/>
      <c r="E20" s="2913"/>
      <c r="F20" s="2913"/>
      <c r="G20" s="2913"/>
      <c r="H20" s="2913"/>
      <c r="I20" s="2913"/>
      <c r="J20" s="2913"/>
      <c r="K20" s="2913"/>
      <c r="L20" s="2913"/>
      <c r="M20" s="2913"/>
    </row>
    <row r="21" spans="1:13" ht="31.5" customHeight="1">
      <c r="A21" s="2912" t="s">
        <v>517</v>
      </c>
      <c r="B21" s="2913" t="s">
        <v>3510</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3511</v>
      </c>
      <c r="C25" s="2913"/>
      <c r="D25" s="2913"/>
      <c r="E25" s="2913"/>
      <c r="F25" s="2913"/>
      <c r="G25" s="2913"/>
      <c r="H25" s="2913"/>
      <c r="I25" s="2913"/>
      <c r="J25" s="2913"/>
      <c r="K25" s="2913"/>
      <c r="L25" s="2913"/>
      <c r="M25" s="2913"/>
    </row>
    <row r="26" spans="1:13" ht="31.5" customHeight="1">
      <c r="A26" s="2912" t="s">
        <v>1478</v>
      </c>
      <c r="B26" s="2913" t="s">
        <v>3512</v>
      </c>
      <c r="C26" s="2913"/>
      <c r="D26" s="2913"/>
      <c r="E26" s="2913"/>
      <c r="F26" s="2913"/>
      <c r="G26" s="2913"/>
      <c r="H26" s="2913"/>
      <c r="I26" s="2913"/>
      <c r="J26" s="2913"/>
      <c r="K26" s="2913"/>
      <c r="L26" s="2913"/>
      <c r="M26" s="2913"/>
    </row>
    <row r="27" spans="1:13" ht="78.75" customHeight="1">
      <c r="A27" s="2912" t="s">
        <v>1478</v>
      </c>
      <c r="B27" s="2913" t="s">
        <v>2770</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2771</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JLv0Nyn8f4nGvuP4Vpgffr2m02wkpHh1NpRHBKORhCmtFMbwgko9JzKUUvzN9zkQFOspzUUIy9s6FurymH6mcA==" saltValue="kpPlTzkAB/NlpHRxOtXQ6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headerFooter alignWithMargins="0">
    <oddFooter>&amp;L&amp;8&amp;G  2018 Funding Application&amp;C&amp;8DCA Housing Finance and Development Division&amp;R&amp;9Page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zoomScalePageLayoutView="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42578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3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3604</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3378</v>
      </c>
      <c r="L15" s="598" t="s">
        <v>2630</v>
      </c>
      <c r="M15" s="598" t="s">
        <v>1308</v>
      </c>
      <c r="N15" s="599">
        <v>0</v>
      </c>
      <c r="O15" s="600">
        <v>1</v>
      </c>
      <c r="P15" s="1609">
        <v>2</v>
      </c>
      <c r="Q15" s="1609">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3978</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3893</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3979</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3979</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3980</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3980</v>
      </c>
      <c r="K75" s="177"/>
      <c r="L75" s="177"/>
      <c r="M75" s="177"/>
      <c r="N75" s="177"/>
      <c r="O75" s="177"/>
      <c r="P75" s="175"/>
      <c r="Q75" s="291" t="s">
        <v>1746</v>
      </c>
      <c r="R75" s="1611">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3980</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3875</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3988</v>
      </c>
      <c r="G80" s="177"/>
      <c r="H80" s="175"/>
      <c r="I80" s="175"/>
      <c r="J80" s="179" t="s">
        <v>3984</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3985</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3986</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3987</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3982</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3892</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3912</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2840</v>
      </c>
      <c r="M96" s="177"/>
      <c r="N96" s="177"/>
      <c r="O96" s="177"/>
      <c r="P96" s="175"/>
      <c r="Q96" s="2331">
        <v>75</v>
      </c>
      <c r="R96" s="2332"/>
      <c r="S96" s="292"/>
      <c r="T96" s="292"/>
      <c r="U96" s="292"/>
      <c r="AA96" s="536"/>
      <c r="AB96" s="536"/>
    </row>
    <row r="97" spans="1:28" s="280" customFormat="1" ht="13.5">
      <c r="A97" s="177"/>
      <c r="B97" s="177" t="s">
        <v>1876</v>
      </c>
      <c r="C97" s="177"/>
      <c r="D97" s="1212" t="s">
        <v>3981</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3928</v>
      </c>
      <c r="I127" s="175"/>
      <c r="J127" s="177" t="s">
        <v>3929</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3922</v>
      </c>
      <c r="I128" s="175"/>
      <c r="J128" s="177" t="s">
        <v>3930</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3931</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3977</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2838</v>
      </c>
      <c r="G134" s="177"/>
      <c r="H134" s="175"/>
      <c r="I134" s="175"/>
      <c r="J134" s="177" t="s">
        <v>2697</v>
      </c>
      <c r="K134" s="177"/>
      <c r="L134" s="177"/>
      <c r="M134" s="177"/>
      <c r="N134" s="177"/>
      <c r="O134" s="177"/>
      <c r="P134" s="175"/>
      <c r="Q134" s="2330" t="s">
        <v>2839</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3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4231</v>
      </c>
      <c r="E151" s="292"/>
      <c r="F151" s="292"/>
    </row>
    <row r="152" spans="2:30" ht="10.5" customHeight="1">
      <c r="C152" s="2338"/>
      <c r="E152" s="292"/>
      <c r="F152" s="292"/>
    </row>
    <row r="153" spans="2:30" ht="10.5" customHeight="1">
      <c r="C153" s="2338"/>
      <c r="D153" s="1356" t="s">
        <v>3990</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3920</v>
      </c>
      <c r="O154" s="583" t="s">
        <v>4349</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4350</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4351</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4352</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4353</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4354</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4355</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4356</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4357</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4358</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4359</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4360</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4361</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4362</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4363</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4364</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4365</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4366</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4367</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4368</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4369</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4370</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4371</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4372</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4373</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4374</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4375</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4376</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4377</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4378</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4379</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4380</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4381</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4382</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4383</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4384</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4385</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4386</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4387</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4388</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4389</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4390</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4391</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4392</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4393</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4394</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4395</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4396</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4397</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4398</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4399</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4400</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4401</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4402</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4403</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4404</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4405</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4406</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4407</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4408</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4409</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4410</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4411</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4412</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4413</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4414</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4415</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4416</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4417</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4418</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4419</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4420</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4421</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4422</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4423</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4424</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4425</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4426</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4427</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4428</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4429</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4430</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4431</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4432</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4433</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4434</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4435</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4436</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4437</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4438</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3766</v>
      </c>
      <c r="L244" s="1082" t="s">
        <v>426</v>
      </c>
      <c r="M244" s="2902" t="s">
        <v>2616</v>
      </c>
      <c r="N244" s="2902" t="s">
        <v>1342</v>
      </c>
      <c r="O244" s="2901" t="s">
        <v>4439</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4440</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4441</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4442</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4443</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4444</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4445</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4446</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4447</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4448</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4449</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4450</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4451</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4452</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3765</v>
      </c>
      <c r="L258" s="1082" t="s">
        <v>426</v>
      </c>
      <c r="M258" s="2902" t="s">
        <v>2616</v>
      </c>
      <c r="N258" s="2902" t="s">
        <v>1217</v>
      </c>
      <c r="O258" s="2901" t="s">
        <v>4453</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4454</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4455</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4456</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4457</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4458</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4459</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4460</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4461</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4462</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4463</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4464</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4465</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4466</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4467</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4468</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4469</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4470</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4471</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4472</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4473</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4474</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4475</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4476</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4477</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4478</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4479</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4480</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4481</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4482</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4483</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4484</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4485</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4486</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4487</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4488</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4489</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4490</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4491</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4492</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4493</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4494</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4495</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4496</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4497</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4498</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4499</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4500</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4501</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4502</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4503</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4504</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4505</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4506</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4507</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4508</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4509</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3754</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Mj8SnKKdxzaFZRf62ihzv+Wir6uHvJpNNIDP3CzwUj12l60RiZwlxQJvD3R8mPZAgPODglorD6YqIdZ4xy8rmw==" saltValue="9h5hgET2eSgUvJgwsIJa1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zoomScalePageLayoutView="130" workbookViewId="0">
      <selection sqref="A1:XFD1048576"/>
    </sheetView>
  </sheetViews>
  <sheetFormatPr defaultColWidth="8.8554687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8.85546875" style="683"/>
  </cols>
  <sheetData>
    <row r="1" spans="1:16" ht="15.75">
      <c r="A1" s="2345" t="s">
        <v>988</v>
      </c>
    </row>
    <row r="2" spans="1:16" ht="16.5">
      <c r="A2" s="2346" t="str">
        <f>'Part I-Project Information'!F34</f>
        <v>Abbington on Cheshire Bridge</v>
      </c>
    </row>
    <row r="3" spans="1:16" ht="16.5">
      <c r="A3" s="2346" t="str">
        <f>CONCATENATE('Part I-Project Information'!F38,", ", 'Part I-Project Information'!J39," County")</f>
        <v>Atlanta, Fulton County</v>
      </c>
    </row>
    <row r="5" spans="1:16" ht="12.75" customHeight="1">
      <c r="A5" s="2347" t="str">
        <f>'Project Narrative'!$A$5</f>
        <v xml:space="preserve">Abbington on Cheshire Bridge, located at 2070 Cheshire Bridge Road NE, Atlnata, GA 30324, is a proposed 48-unit apartment community for families in the City of Atlanta, GA.  The site is zoned Mixed Residential Commercial with Conditions (MRC-1-C) which allows for the proposed design.  While there are numerous market rate apartment developments under construction in the Buckhead area, there are few new affordable housing rental options.  Neighborhood Planning Unit F, and the Lindberg-Martin Manor Neighborhood Assocation, in whose area this development would be located, have both voted in favor to support this proposed development in recognition of the strong need for affordable housing in this area.  Invest Atlanta has also made a $1.2 million commitment of Housing Opportunity Bond funding to support this development. 
Unit mix will comprise six (6) 1-bedroom/1 bathroom (702 net rentable square feet), eight (8) 2-bedroom/2-bath (974 net rentable square feet), and thirty-four (34) 3-bedroom/2-bath (1,115 net rentable square feet) units in a single multi-story elevator building with interior breezeways.  The development will be mixed-income, with both market-rate rents and below-market affordable rents at levels affordable to families at the 60% to 50% area median income level.     
Amenities will be plentiful at the development to provide many services on site for the convenience of residents.  Common amenities will include a fitness center, a health screening facility, community garden, computer center, community room with kitchenette, laundry facility, and covered porch.  Units will be fully equipped with refrigerator with icemaker, microwave, range top with oven, washer/dryer connections, and ceiling fans in bedrooms and living room.  The development will be Enterprise Green Communities certified.
Excellent site accessibility provides residents a range of mobility options.  Sidewalk connections along Cheshire Bridge Road provide easy walkability to nearby shopping and restaurants.  Multiple MARTA bus transit stops are located in close proximity to the site and several transit hubs (3 or more routes) are located a half-mile north of the site at the Lindberg Road/Cheshire Bridge Road intersection and walkable from the site by existing sidewalk.  Vehicle accessibility is also superior, with Abbingon on Cheshire Bridge located less than a mile from the Interstate-85 and State Route 400 interchange in the heart of mid-town Atlanta. 
The onsite fitness and health care facilities, combined with the community garden and strong pedestrian and transit connectivity, will encourage a health lifestyle among residents.  The furnished community spaces will give residents numerous opportunities to interact and socialize.  The nearby transit stops and transit hubs will reduce dependency on cars and provide a quick and safe travel solution to the residents.  The partnership with a primary care provider will bring doctors to the development on a minimum monthly basis and enable residents to enjoy convenient access to necessary health care services or referrals, with screening and educational costs provided at no additional cost.
Abbington on Cheshire Bridge will accomodate many of DCA’s development scoring priorities.  A minimum of 20% of the total units will have rents set at 50% AMI levels.  As a requirement of the Invest Atlanta Housing Opportunity Bond loan funding, the development will also have a minimum 15% of the total units available at market rents. There are numerous amenities located within either a 1.5-mile or 0.5-mile walking/driving distance from the site, including: Publix grocery; Morningside Nature Preserve park; TMJ Dentist Atlanta; Atlanta Fire-Rescue Station 29; Taquira del Sol restaurant; Chase Bank; Rock Spring Presbyterian Church; U.S. Post Office; and CVS Pharmacy.  The site is also within 1 mile of several MARTA transit hubs located along at least 3 fixed bus routes with daily schedules serving the public no less than 5 days per week.  The development will be certified to 10 points over the minimum in the Enterprise Foundation Green Communities certification program.  A partnership with HomeCare Medicine of Atlanta will allow onsite health screenings and healthy eating initiatives (including use of an onsite community garden) to encourage health lifestyles among residents.  The development is also located in the attendance zones of Garden Hills Elementary, Sutton Middle School, and North Atlanta High School – each of which exceeded the CCRPI performance threshold average (2015-2017).  The site is also within 2 miles of 42,947 jobs according to the “On the Map” census data mapping tool.  The site is in an area governed by an active redevelopment plan and, while located within a Qualified Census tract, the site site is less than ¼ mile from a census tract with less than 10% of persons below the poverty line.  The site is also located in B3 public health cluster.  There is also significant off-site capital investment ongoing in a ½-mile radius from the site that amounts to greater than 10% the project development cost.  DCA has not awarded 9% tax credits within a mile of the site in the past 4 funding rounds.  Invest Atlanta’s award of $1.2 million in Housing Opportunity Bonds as a 30-year 2.0% fixed-rate loan (unrestricted funding below the applicable federal rate) also amounts to more than 10% of the total development cost.
The site is an excellent infill use where all utilities and infrastructure are already in place.   Several market rate apartment developments are in place (or under construction) to the north and west.  Abbington on Cheshire Bridge will provide an excellent opportunity for LIHTC funded housing to provide lower-income families access to the same amenities and superior location typically afforded to higher-end market rate residents.  This development would offer DCA a rare opportunity to introduce an affordable housing option into the high-rent Buckhead market.  As a side note 2 members of Rea Ventures live in NPU-F and and are very excited about the opportunity to support our local community with quality workforce housing.  Another member of Rea Ventures group actually grew up near the proposed site and was instrumental in bringing this project to the current stage.  We are sure DCA will see the potenital impact this project will have on the affordable housing initiative for the City of Atlanta.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303052119, 303030000,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4518</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4743</v>
      </c>
      <c r="H16" s="2351"/>
      <c r="I16" s="2351"/>
      <c r="J16" s="2351"/>
      <c r="K16" s="2351"/>
      <c r="L16" s="2349"/>
      <c r="M16" s="2351"/>
      <c r="N16" s="2351"/>
      <c r="O16" s="2351"/>
      <c r="P16" s="2354" t="s">
        <v>3897</v>
      </c>
    </row>
    <row r="17" spans="1:16" ht="14.25" customHeight="1">
      <c r="A17" s="2351"/>
      <c r="B17" s="2355"/>
      <c r="C17" s="2355"/>
      <c r="D17" s="2355"/>
      <c r="E17" s="2355"/>
      <c r="F17" s="2349"/>
      <c r="G17" s="2353" t="s">
        <v>4744</v>
      </c>
      <c r="H17" s="2356"/>
      <c r="I17" s="2356"/>
      <c r="J17" s="2356"/>
      <c r="K17" s="2351"/>
      <c r="L17" s="2351"/>
      <c r="M17" s="2351"/>
      <c r="N17" s="2351"/>
      <c r="O17" s="2348" t="str">
        <f>'Part I-Project Information'!$O$6</f>
        <v>2018-046</v>
      </c>
      <c r="P17" s="2348"/>
    </row>
    <row r="18" spans="1:16">
      <c r="A18" s="2351"/>
      <c r="B18" s="2355"/>
      <c r="C18" s="2355"/>
      <c r="D18" s="2355"/>
      <c r="E18" s="2355"/>
      <c r="F18" s="2348"/>
      <c r="G18" s="2357" t="s">
        <v>3340</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3825</v>
      </c>
      <c r="G20" s="2351"/>
      <c r="H20" s="2351"/>
      <c r="I20" s="2360">
        <f>'Part IV-A-Uses of Funds'!$J$175</f>
        <v>714000</v>
      </c>
      <c r="J20" s="2360"/>
      <c r="K20" s="2351"/>
      <c r="L20" s="2351" t="s">
        <v>3826</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3740</v>
      </c>
      <c r="J22" s="2348" t="s">
        <v>4745</v>
      </c>
      <c r="K22" s="2348"/>
      <c r="L22" s="2356"/>
      <c r="M22" s="2351"/>
      <c r="N22" s="2351"/>
      <c r="O22" s="2351" t="str">
        <f>'Part I-Project Information'!$O$11</f>
        <v>&lt;&lt;Enter Pre-App Nbr&gt;&gt;</v>
      </c>
      <c r="P22" s="2351"/>
    </row>
    <row r="23" spans="1:16" ht="13.5" customHeight="1">
      <c r="A23" s="2349"/>
      <c r="B23" s="2365" t="s">
        <v>4519</v>
      </c>
      <c r="C23" s="2365"/>
      <c r="D23" s="2365"/>
      <c r="E23" s="2351"/>
      <c r="F23" s="2351"/>
      <c r="G23" s="2351"/>
      <c r="H23" s="2356"/>
      <c r="I23" s="2351"/>
      <c r="J23" s="2359" t="s">
        <v>2752</v>
      </c>
      <c r="K23" s="2352"/>
      <c r="L23" s="2351"/>
      <c r="M23" s="2356"/>
      <c r="N23" s="2351"/>
      <c r="O23" s="2363" t="str">
        <f>'Part I-Project Information'!$O$12</f>
        <v>&lt;&lt;Select&gt;&gt;</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3823</v>
      </c>
      <c r="K25" s="2351"/>
      <c r="L25" s="2351"/>
      <c r="M25" s="2351"/>
      <c r="N25" s="2351"/>
      <c r="O25" s="2351"/>
      <c r="P25" s="2351"/>
    </row>
    <row r="26" spans="1:16">
      <c r="A26" s="2349"/>
      <c r="B26" s="2351" t="s">
        <v>3898</v>
      </c>
      <c r="C26" s="2351"/>
      <c r="D26" s="2348"/>
      <c r="E26" s="2351"/>
      <c r="F26" s="2367">
        <f>'Part I-Project Information'!$F$15</f>
        <v>0</v>
      </c>
      <c r="G26" s="2367"/>
      <c r="H26" s="2367"/>
      <c r="I26" s="2367"/>
      <c r="J26" s="2367"/>
      <c r="K26" s="2367"/>
      <c r="L26" s="2351" t="s">
        <v>3822</v>
      </c>
      <c r="M26" s="2351"/>
      <c r="N26" s="2351"/>
      <c r="O26" s="2351">
        <f>'Part I-Project Information'!$O$15</f>
        <v>0</v>
      </c>
      <c r="P26" s="2351"/>
    </row>
    <row r="27" spans="1:16">
      <c r="A27" s="2349"/>
      <c r="B27" s="2351" t="s">
        <v>3824</v>
      </c>
      <c r="C27" s="2351"/>
      <c r="D27" s="2351"/>
      <c r="E27" s="2351"/>
      <c r="F27" s="2366">
        <f>'Part I-Project Information'!F16</f>
        <v>0</v>
      </c>
      <c r="G27" s="2351" t="s">
        <v>3881</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3909</v>
      </c>
      <c r="C31" s="2351"/>
      <c r="D31" s="2351"/>
      <c r="E31" s="2351"/>
      <c r="F31" s="2351" t="str">
        <f>'Part I-Project Information'!F20</f>
        <v>Rea Ventures Group, LLC</v>
      </c>
      <c r="G31" s="2351">
        <f>'Part I-Project Information'!G20</f>
        <v>0</v>
      </c>
      <c r="H31" s="2351">
        <f>'Part I-Project Information'!H20</f>
        <v>0</v>
      </c>
      <c r="I31" s="2351" t="s">
        <v>1810</v>
      </c>
      <c r="J31" s="2351" t="str">
        <f>'Part I-Project Information'!J20</f>
        <v>William J. Rea, Jr.</v>
      </c>
      <c r="K31" s="2351">
        <f>'Part I-Project Information'!K20</f>
        <v>0</v>
      </c>
      <c r="L31" s="2351">
        <f>'Part I-Project Information'!L20</f>
        <v>0</v>
      </c>
      <c r="M31" s="2359" t="s">
        <v>1996</v>
      </c>
      <c r="N31" s="2351" t="str">
        <f>'Part I-Project Information'!N20</f>
        <v>Principal</v>
      </c>
      <c r="O31" s="2351">
        <f>'Part I-Project Information'!O20</f>
        <v>0</v>
      </c>
      <c r="P31" s="2351">
        <f>'Part I-Project Information'!P20</f>
        <v>0</v>
      </c>
    </row>
    <row r="32" spans="1:16" ht="12.75" customHeight="1">
      <c r="A32" s="2351"/>
      <c r="B32" s="2359" t="s">
        <v>1997</v>
      </c>
      <c r="C32" s="2351"/>
      <c r="D32" s="2351"/>
      <c r="E32" s="2351"/>
      <c r="F32" s="2351" t="str">
        <f>'Part I-Project Information'!F21</f>
        <v>2964 Peachthree Road NW, Suite 200</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3908</v>
      </c>
      <c r="N32" s="2369"/>
      <c r="O32" s="2369"/>
      <c r="P32" s="2369"/>
    </row>
    <row r="33" spans="1:16" ht="12.75" customHeight="1">
      <c r="A33" s="2351"/>
      <c r="B33" s="2359" t="s">
        <v>624</v>
      </c>
      <c r="C33" s="2351"/>
      <c r="D33" s="2351"/>
      <c r="E33" s="2351"/>
      <c r="F33" s="2351" t="str">
        <f>'Part I-Project Information'!F22</f>
        <v>Atlanta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303052119</v>
      </c>
      <c r="G34" s="2371">
        <f>'Part I-Project Information'!G23</f>
        <v>0</v>
      </c>
      <c r="H34" s="2371">
        <f>'Part I-Project Information'!H23</f>
        <v>0</v>
      </c>
      <c r="I34" s="2359" t="s">
        <v>1733</v>
      </c>
      <c r="J34" s="2372">
        <f>'Part I-Project Information'!J23</f>
        <v>4042504093</v>
      </c>
      <c r="K34" s="2372">
        <f>'Part I-Project Information'!K23</f>
        <v>0</v>
      </c>
      <c r="L34" s="2356" t="s">
        <v>1732</v>
      </c>
      <c r="M34" s="2356">
        <f>'Part I-Project Information'!M23</f>
        <v>703</v>
      </c>
      <c r="N34" s="2359" t="s">
        <v>1734</v>
      </c>
      <c r="O34" s="2372">
        <f>'Part I-Project Information'!O23</f>
        <v>0</v>
      </c>
      <c r="P34" s="2372">
        <f>'Part I-Project Information'!P23</f>
        <v>0</v>
      </c>
    </row>
    <row r="35" spans="1:16">
      <c r="A35" s="2351"/>
      <c r="B35" s="2359" t="s">
        <v>2000</v>
      </c>
      <c r="C35" s="2351"/>
      <c r="D35" s="2351"/>
      <c r="E35" s="2351"/>
      <c r="F35" s="2351" t="str">
        <f>'Part I-Project Information'!F24</f>
        <v>billrea@reaventures.com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4042731892</v>
      </c>
      <c r="P35" s="2372">
        <f>'Part I-Project Information'!P24</f>
        <v>0</v>
      </c>
    </row>
    <row r="36" spans="1:16">
      <c r="A36" s="2349"/>
      <c r="B36" s="2348" t="s">
        <v>4111</v>
      </c>
      <c r="C36" s="2358"/>
      <c r="D36" s="2351"/>
      <c r="E36" s="2351"/>
      <c r="F36" s="2351"/>
      <c r="G36" s="2351"/>
      <c r="H36" s="2356"/>
      <c r="I36" s="2351"/>
      <c r="J36" s="2358"/>
      <c r="K36" s="2351"/>
      <c r="L36" s="2351"/>
      <c r="M36" s="2351"/>
      <c r="N36" s="2351"/>
      <c r="O36" s="2351"/>
      <c r="P36" s="2373"/>
    </row>
    <row r="37" spans="1:16">
      <c r="A37" s="2351"/>
      <c r="B37" s="2351" t="s">
        <v>3909</v>
      </c>
      <c r="C37" s="2351"/>
      <c r="D37" s="2351"/>
      <c r="E37" s="2351"/>
      <c r="F37" s="2351" t="str">
        <f>'Part I-Project Information'!F26</f>
        <v>Rea Ventures Group, LLC</v>
      </c>
      <c r="G37" s="2351">
        <f>'Part I-Project Information'!G26</f>
        <v>0</v>
      </c>
      <c r="H37" s="2351">
        <f>'Part I-Project Information'!H26</f>
        <v>0</v>
      </c>
      <c r="I37" s="2351" t="s">
        <v>1810</v>
      </c>
      <c r="J37" s="2351" t="str">
        <f>'Part I-Project Information'!J26</f>
        <v>Sean Brady</v>
      </c>
      <c r="K37" s="2351">
        <f>'Part I-Project Information'!K26</f>
        <v>0</v>
      </c>
      <c r="L37" s="2351">
        <f>'Part I-Project Information'!L26</f>
        <v>0</v>
      </c>
      <c r="M37" s="2359" t="s">
        <v>1996</v>
      </c>
      <c r="N37" s="2351" t="str">
        <f>'Part I-Project Information'!N26</f>
        <v>Vice President of Development</v>
      </c>
      <c r="O37" s="2351">
        <f>'Part I-Project Information'!O26</f>
        <v>0</v>
      </c>
      <c r="P37" s="2351">
        <f>'Part I-Project Information'!P26</f>
        <v>0</v>
      </c>
    </row>
    <row r="38" spans="1:16" ht="12.75" customHeight="1">
      <c r="A38" s="2351"/>
      <c r="B38" s="2359" t="s">
        <v>1997</v>
      </c>
      <c r="C38" s="2351"/>
      <c r="D38" s="2351"/>
      <c r="E38" s="2351"/>
      <c r="F38" s="2351" t="str">
        <f>'Part I-Project Information'!F27</f>
        <v>2964 Peachtree Road NW, Suite 200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3908</v>
      </c>
      <c r="N38" s="2369"/>
      <c r="O38" s="2369"/>
      <c r="P38" s="2369"/>
    </row>
    <row r="39" spans="1:16" ht="12.75" customHeight="1">
      <c r="A39" s="2351"/>
      <c r="B39" s="2359" t="s">
        <v>624</v>
      </c>
      <c r="C39" s="2351"/>
      <c r="D39" s="2351"/>
      <c r="E39" s="2351"/>
      <c r="F39" s="2351" t="str">
        <f>'Part I-Project Information'!F28</f>
        <v>Atlanta</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303052119</v>
      </c>
      <c r="G40" s="2371">
        <f>'Part I-Project Information'!G29</f>
        <v>0</v>
      </c>
      <c r="H40" s="2371">
        <f>'Part I-Project Information'!H29</f>
        <v>0</v>
      </c>
      <c r="I40" s="2359" t="s">
        <v>1733</v>
      </c>
      <c r="J40" s="2372">
        <f>'Part I-Project Information'!J29</f>
        <v>4042504093</v>
      </c>
      <c r="K40" s="2372">
        <f>'Part I-Project Information'!K29</f>
        <v>0</v>
      </c>
      <c r="L40" s="2356" t="s">
        <v>1732</v>
      </c>
      <c r="M40" s="2356">
        <f>'Part I-Project Information'!M29</f>
        <v>704</v>
      </c>
      <c r="N40" s="2359" t="s">
        <v>1734</v>
      </c>
      <c r="O40" s="2372">
        <f>'Part I-Project Information'!O29</f>
        <v>0</v>
      </c>
      <c r="P40" s="2372">
        <f>'Part I-Project Information'!P29</f>
        <v>0</v>
      </c>
    </row>
    <row r="41" spans="1:16">
      <c r="A41" s="2351"/>
      <c r="B41" s="2359" t="s">
        <v>2000</v>
      </c>
      <c r="C41" s="2351"/>
      <c r="D41" s="2351"/>
      <c r="E41" s="2351"/>
      <c r="F41" s="2351" t="str">
        <f>'Part I-Project Information'!F30</f>
        <v>seanbrady@reaventures.com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6785917002</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Abbington on Cheshire Bridge</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2717</v>
      </c>
      <c r="C46" s="2351"/>
      <c r="D46" s="2362"/>
      <c r="E46" s="2351"/>
      <c r="F46" s="2351" t="str">
        <f>'Part I-Project Information'!F35</f>
        <v>2070 Cheshire Bridge Road NE</v>
      </c>
      <c r="G46" s="2351">
        <f>'Part I-Project Information'!G35</f>
        <v>0</v>
      </c>
      <c r="H46" s="2351">
        <f>'Part I-Project Information'!H35</f>
        <v>0</v>
      </c>
      <c r="I46" s="2351">
        <f>'Part I-Project Information'!I35</f>
        <v>0</v>
      </c>
      <c r="J46" s="2351">
        <f>'Part I-Project Information'!J35</f>
        <v>0</v>
      </c>
      <c r="K46" s="2351">
        <f>'Part I-Project Information'!K35</f>
        <v>0</v>
      </c>
      <c r="L46" s="2351" t="s">
        <v>3708</v>
      </c>
      <c r="M46" s="2351"/>
      <c r="N46" s="2351"/>
      <c r="O46" s="2351">
        <f>'Part I-Project Information'!O35</f>
        <v>0</v>
      </c>
      <c r="P46" s="2351">
        <f>'Part I-Project Information'!P35</f>
        <v>0</v>
      </c>
    </row>
    <row r="47" spans="1:16">
      <c r="A47" s="2354"/>
      <c r="B47" s="2351" t="s">
        <v>4746</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3707</v>
      </c>
      <c r="P47" s="2356">
        <f>'Part I-Project Information'!P36</f>
        <v>0</v>
      </c>
    </row>
    <row r="48" spans="1:16">
      <c r="A48" s="2354"/>
      <c r="B48" s="2351" t="s">
        <v>3762</v>
      </c>
      <c r="C48" s="2351"/>
      <c r="D48" s="2362"/>
      <c r="E48" s="2351"/>
      <c r="F48" s="2351" t="s">
        <v>3742</v>
      </c>
      <c r="G48" s="2374">
        <f>'Part I-Project Information'!G37</f>
        <v>33.812044999999998</v>
      </c>
      <c r="H48" s="2374">
        <f>'Part I-Project Information'!H37</f>
        <v>0</v>
      </c>
      <c r="I48" s="2356" t="s">
        <v>3743</v>
      </c>
      <c r="J48" s="2374">
        <f>'Part I-Project Information'!J37</f>
        <v>-84.355362999999997</v>
      </c>
      <c r="K48" s="2374">
        <f>'Part I-Project Information'!K37</f>
        <v>0</v>
      </c>
      <c r="L48" s="2359" t="s">
        <v>2299</v>
      </c>
      <c r="M48" s="2351"/>
      <c r="N48" s="2351"/>
      <c r="O48" s="2375">
        <f>'Part I-Project Information'!O37</f>
        <v>1.79</v>
      </c>
      <c r="P48" s="2375">
        <f>'Part I-Project Information'!P37</f>
        <v>0</v>
      </c>
    </row>
    <row r="49" spans="1:16" ht="16.5">
      <c r="A49" s="2349"/>
      <c r="B49" s="2351" t="s">
        <v>624</v>
      </c>
      <c r="C49" s="2351"/>
      <c r="D49" s="2351"/>
      <c r="E49" s="2351"/>
      <c r="F49" s="2351" t="str">
        <f>'Part I-Project Information'!F38</f>
        <v>Atlanta</v>
      </c>
      <c r="G49" s="2351">
        <f>'Part I-Project Information'!G38</f>
        <v>0</v>
      </c>
      <c r="H49" s="2351">
        <f>'Part I-Project Information'!H38</f>
        <v>0</v>
      </c>
      <c r="I49" s="2376" t="s">
        <v>4747</v>
      </c>
      <c r="J49" s="2371">
        <f>'Part I-Project Information'!J38</f>
        <v>303244242</v>
      </c>
      <c r="K49" s="2371">
        <f>'Part I-Project Information'!K38</f>
        <v>0</v>
      </c>
      <c r="L49" s="2348" t="str">
        <f>IF(AND(NOT(F45=""),NOT(F49="Select from list"),J49=""),"Enter Zip!","")</f>
        <v/>
      </c>
      <c r="M49" s="2377" t="s">
        <v>2926</v>
      </c>
      <c r="N49" s="2351"/>
      <c r="O49" s="2378" t="str">
        <f>'Part I-Project Information'!O38</f>
        <v>13121009200</v>
      </c>
      <c r="P49" s="2379">
        <f>'Part I-Project Information'!P38</f>
        <v>0</v>
      </c>
    </row>
    <row r="50" spans="1:16">
      <c r="A50" s="2349"/>
      <c r="B50" s="2351" t="s">
        <v>3592</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Fulton</v>
      </c>
      <c r="K50" s="2367">
        <f>'Part I-Project Information'!K39</f>
        <v>0</v>
      </c>
      <c r="L50" s="2351"/>
      <c r="M50" s="2359" t="s">
        <v>455</v>
      </c>
      <c r="N50" s="2381" t="str">
        <f>'Part I-Project Information'!N39</f>
        <v>Yes</v>
      </c>
      <c r="O50" s="2356" t="s">
        <v>456</v>
      </c>
      <c r="P50" s="2381" t="str">
        <f>'Part I-Project Information'!P39</f>
        <v>No</v>
      </c>
    </row>
    <row r="51" spans="1:16">
      <c r="A51" s="2349"/>
      <c r="B51" s="2348"/>
      <c r="C51" s="2351" t="s">
        <v>1570</v>
      </c>
      <c r="D51" s="2351"/>
      <c r="E51" s="2351"/>
      <c r="F51" s="2359" t="str">
        <f>'Part I-Project Information'!F40</f>
        <v>No</v>
      </c>
      <c r="G51" s="2351" t="s">
        <v>2800</v>
      </c>
      <c r="H51" s="2351"/>
      <c r="I51" s="2356" t="str">
        <f>'Part I-Project Information'!I40</f>
        <v>No</v>
      </c>
      <c r="J51" s="2356" t="s">
        <v>2820</v>
      </c>
      <c r="K51" s="2356" t="str">
        <f>'Part I-Project Information'!K40</f>
        <v>Urban</v>
      </c>
      <c r="L51" s="2351"/>
      <c r="M51" s="2359" t="s">
        <v>2628</v>
      </c>
      <c r="N51" s="2349" t="str">
        <f>'Part I-Project Information'!N40</f>
        <v>MSA</v>
      </c>
      <c r="O51" s="2351" t="str">
        <f>'Part I-Project Information'!O40</f>
        <v>Atlanta-Sandy Springs-Marietta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4748</v>
      </c>
      <c r="D53" s="2351"/>
      <c r="E53" s="2351"/>
      <c r="F53" s="2382" t="s">
        <v>2781</v>
      </c>
      <c r="G53" s="2382"/>
      <c r="H53" s="2351" t="s">
        <v>744</v>
      </c>
      <c r="I53" s="2351"/>
      <c r="J53" s="2351" t="s">
        <v>745</v>
      </c>
      <c r="K53" s="2351"/>
      <c r="L53" s="2383" t="s">
        <v>4541</v>
      </c>
      <c r="M53" s="2351"/>
      <c r="N53" s="2351"/>
      <c r="O53" s="2351"/>
      <c r="P53" s="2351"/>
    </row>
    <row r="54" spans="1:16">
      <c r="A54" s="2349"/>
      <c r="B54" s="2351" t="s">
        <v>4749</v>
      </c>
      <c r="C54" s="2351"/>
      <c r="D54" s="2348"/>
      <c r="E54" s="2351"/>
      <c r="F54" s="2384">
        <f>'Part I-Project Information'!F43</f>
        <v>5</v>
      </c>
      <c r="G54" s="2384">
        <f>'Part I-Project Information'!G43</f>
        <v>0</v>
      </c>
      <c r="H54" s="2384">
        <f>'Part I-Project Information'!H43</f>
        <v>36</v>
      </c>
      <c r="I54" s="2384">
        <f>'Part I-Project Information'!I43</f>
        <v>0</v>
      </c>
      <c r="J54" s="2384">
        <f>'Part I-Project Information'!J43</f>
        <v>57</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2779</v>
      </c>
      <c r="M55" s="2351"/>
      <c r="N55" s="2386" t="s">
        <v>2778</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Atlanta</v>
      </c>
      <c r="G57" s="2387">
        <f>'Part I-Project Information'!G46</f>
        <v>0</v>
      </c>
      <c r="H57" s="2387">
        <f>'Part I-Project Information'!H46</f>
        <v>0</v>
      </c>
      <c r="I57" s="2387">
        <f>'Part I-Project Information'!I46</f>
        <v>0</v>
      </c>
      <c r="J57" s="2387">
        <f>'Part I-Project Information'!J46</f>
        <v>0</v>
      </c>
      <c r="K57" s="2387">
        <f>'Part I-Project Information'!K46</f>
        <v>0</v>
      </c>
      <c r="L57" s="2388" t="s">
        <v>2723</v>
      </c>
      <c r="M57" s="2351" t="str">
        <f>'Part I-Project Information'!M46</f>
        <v>www.atlantaga.gov</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Keisha Lance Bottoms</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55 Trinity Avenue, SW</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Atlanta</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303030000</v>
      </c>
      <c r="G60" s="2371">
        <f>'Part I-Project Information'!G49</f>
        <v>0</v>
      </c>
      <c r="H60" s="2356" t="s">
        <v>1998</v>
      </c>
      <c r="I60" s="2372">
        <f>'Part I-Project Information'!I49</f>
        <v>4043306026</v>
      </c>
      <c r="J60" s="2372">
        <f>'Part I-Project Information'!J49</f>
        <v>0</v>
      </c>
      <c r="K60" s="2372">
        <f>'Part I-Project Information'!K49</f>
        <v>0</v>
      </c>
      <c r="L60" s="2359" t="s">
        <v>1813</v>
      </c>
      <c r="M60" s="2387">
        <f>'Part I-Project Information'!M49</f>
        <v>0</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4750</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48</v>
      </c>
      <c r="I66" s="2358"/>
      <c r="J66" s="2358"/>
      <c r="K66" s="2359" t="s">
        <v>3699</v>
      </c>
      <c r="L66" s="2351"/>
      <c r="M66" s="2392" t="s">
        <v>3698</v>
      </c>
      <c r="N66" s="2391">
        <f>'Part VI-Revenues &amp; Expenses'!$O$81</f>
        <v>0</v>
      </c>
      <c r="O66" s="2393" t="s">
        <v>3379</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2931</v>
      </c>
      <c r="J68" s="2351"/>
      <c r="K68" s="2351" t="s">
        <v>350</v>
      </c>
      <c r="L68" s="2351"/>
      <c r="M68" s="2351"/>
      <c r="N68" s="2351"/>
      <c r="O68" s="2351"/>
      <c r="P68" s="2396" t="str">
        <f>'Part I-Project Information'!P57</f>
        <v>NA</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Yes</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3588</v>
      </c>
      <c r="J72" s="2354" t="s">
        <v>2131</v>
      </c>
      <c r="K72" s="2399" t="s">
        <v>2318</v>
      </c>
      <c r="L72" s="2351"/>
      <c r="M72" s="2351"/>
      <c r="N72" s="2351"/>
      <c r="O72" s="2351"/>
      <c r="P72" s="2356"/>
    </row>
    <row r="73" spans="1:16">
      <c r="A73" s="2349"/>
      <c r="B73" s="2370"/>
      <c r="C73" s="2358" t="s">
        <v>2293</v>
      </c>
      <c r="D73" s="2351"/>
      <c r="E73" s="2351"/>
      <c r="F73" s="2351"/>
      <c r="G73" s="2351"/>
      <c r="H73" s="2400">
        <f>SUM(H74:H75)</f>
        <v>40</v>
      </c>
      <c r="I73" s="2400">
        <f>SUM(I74:I75)</f>
        <v>0</v>
      </c>
      <c r="J73" s="2349"/>
      <c r="K73" s="2358" t="s">
        <v>2792</v>
      </c>
      <c r="L73" s="2351"/>
      <c r="M73" s="2351"/>
      <c r="N73" s="2351"/>
      <c r="O73" s="2351"/>
      <c r="P73" s="2400">
        <f>'Part VI-Revenues &amp; Expenses'!$O$115</f>
        <v>41276</v>
      </c>
    </row>
    <row r="74" spans="1:16">
      <c r="A74" s="2349"/>
      <c r="B74" s="2358"/>
      <c r="C74" s="2351"/>
      <c r="D74" s="2382" t="s">
        <v>387</v>
      </c>
      <c r="E74" s="2351"/>
      <c r="F74" s="2351"/>
      <c r="G74" s="2351"/>
      <c r="H74" s="2400">
        <f>'Part VI-Revenues &amp; Expenses'!$O$57</f>
        <v>12</v>
      </c>
      <c r="I74" s="2400">
        <f>'Part VI-Revenues &amp; Expenses'!$O$65</f>
        <v>0</v>
      </c>
      <c r="J74" s="2351"/>
      <c r="K74" s="2358" t="s">
        <v>2793</v>
      </c>
      <c r="L74" s="2351"/>
      <c r="M74" s="2351"/>
      <c r="N74" s="2351"/>
      <c r="O74" s="2351"/>
      <c r="P74" s="2400">
        <f>'Part VI-Revenues &amp; Expenses'!$O$116</f>
        <v>8638</v>
      </c>
    </row>
    <row r="75" spans="1:16">
      <c r="A75" s="2349"/>
      <c r="B75" s="2351"/>
      <c r="C75" s="2351"/>
      <c r="D75" s="2382" t="s">
        <v>1835</v>
      </c>
      <c r="E75" s="2382"/>
      <c r="F75" s="2351"/>
      <c r="G75" s="2351"/>
      <c r="H75" s="2400">
        <f>'Part VI-Revenues &amp; Expenses'!$O$56</f>
        <v>28</v>
      </c>
      <c r="I75" s="2400">
        <f>'Part VI-Revenues &amp; Expenses'!$O$64</f>
        <v>0</v>
      </c>
      <c r="J75" s="2351"/>
      <c r="K75" s="2358" t="s">
        <v>2794</v>
      </c>
      <c r="L75" s="2351"/>
      <c r="M75" s="2351"/>
      <c r="N75" s="2351"/>
      <c r="O75" s="2351"/>
      <c r="P75" s="2400">
        <f>P73+P74</f>
        <v>49914</v>
      </c>
    </row>
    <row r="76" spans="1:16">
      <c r="A76" s="2349"/>
      <c r="B76" s="2351"/>
      <c r="C76" s="2358" t="s">
        <v>255</v>
      </c>
      <c r="D76" s="2351"/>
      <c r="E76" s="2351"/>
      <c r="F76" s="2351"/>
      <c r="G76" s="2351"/>
      <c r="H76" s="2400">
        <f>'Part VI-Revenues &amp; Expenses'!$O$59</f>
        <v>8</v>
      </c>
      <c r="I76" s="2351"/>
      <c r="J76" s="2349"/>
      <c r="K76" s="2358" t="s">
        <v>2795</v>
      </c>
      <c r="L76" s="2351"/>
      <c r="M76" s="2351"/>
      <c r="N76" s="2351"/>
      <c r="O76" s="2351"/>
      <c r="P76" s="2400">
        <f>'Part VI-Revenues &amp; Expenses'!$O$118</f>
        <v>0</v>
      </c>
    </row>
    <row r="77" spans="1:16">
      <c r="A77" s="2349"/>
      <c r="B77" s="2351"/>
      <c r="C77" s="2358" t="s">
        <v>2423</v>
      </c>
      <c r="D77" s="2351"/>
      <c r="E77" s="2351"/>
      <c r="F77" s="2351"/>
      <c r="G77" s="2351"/>
      <c r="H77" s="2400">
        <f>H73+H76</f>
        <v>48</v>
      </c>
      <c r="I77" s="2351"/>
      <c r="J77" s="2349"/>
      <c r="K77" s="2358" t="s">
        <v>1432</v>
      </c>
      <c r="L77" s="2351"/>
      <c r="M77" s="2351"/>
      <c r="N77" s="2351"/>
      <c r="O77" s="2351"/>
      <c r="P77" s="2400">
        <f>+P75+P76</f>
        <v>49914</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48</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1</v>
      </c>
      <c r="I81" s="2351"/>
      <c r="J81" s="2351"/>
      <c r="K81" s="2358" t="s">
        <v>4101</v>
      </c>
      <c r="L81" s="2351"/>
      <c r="M81" s="2351"/>
      <c r="N81" s="2351"/>
      <c r="O81" s="2351"/>
      <c r="P81" s="2400">
        <f>'Part I-Project Information'!P70</f>
        <v>7487</v>
      </c>
    </row>
    <row r="82" spans="1:16">
      <c r="A82" s="2349"/>
      <c r="B82" s="2349"/>
      <c r="C82" s="2351"/>
      <c r="D82" s="2370" t="s">
        <v>2013</v>
      </c>
      <c r="E82" s="2351"/>
      <c r="F82" s="2351"/>
      <c r="G82" s="2351"/>
      <c r="H82" s="2400">
        <f>'Part I-Project Information'!H71</f>
        <v>0</v>
      </c>
      <c r="I82" s="2351"/>
      <c r="J82" s="2351"/>
      <c r="K82" s="2358" t="s">
        <v>254</v>
      </c>
      <c r="L82" s="2351"/>
      <c r="M82" s="2351"/>
      <c r="N82" s="2351"/>
      <c r="O82" s="2351"/>
      <c r="P82" s="2400">
        <f>+P77+P81</f>
        <v>57401</v>
      </c>
    </row>
    <row r="83" spans="1:16">
      <c r="A83" s="2349"/>
      <c r="B83" s="2349"/>
      <c r="C83" s="2351"/>
      <c r="D83" s="2370" t="s">
        <v>2014</v>
      </c>
      <c r="E83" s="2351"/>
      <c r="F83" s="2351"/>
      <c r="G83" s="2351"/>
      <c r="H83" s="2400">
        <f>+H81+H82</f>
        <v>1</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2861</v>
      </c>
      <c r="D85" s="2351"/>
      <c r="E85" s="2351"/>
      <c r="F85" s="2351"/>
      <c r="G85" s="2351"/>
      <c r="H85" s="2400">
        <f>'Part I-Project Information'!H74</f>
        <v>48</v>
      </c>
      <c r="I85" s="2351"/>
      <c r="J85" s="2351"/>
      <c r="K85" s="2347" t="s">
        <v>3882</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4751</v>
      </c>
      <c r="D89" s="2402"/>
      <c r="E89" s="2402"/>
      <c r="F89" s="2351"/>
      <c r="G89" s="2356"/>
      <c r="H89" s="2382" t="str">
        <f>'Part I-Project Information'!H78</f>
        <v>Family</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3903</v>
      </c>
      <c r="I91" s="2347"/>
      <c r="J91" s="2351"/>
      <c r="K91" s="2403" t="s">
        <v>2932</v>
      </c>
      <c r="L91" s="2400">
        <f>'Part I-Project Information'!L80</f>
        <v>48</v>
      </c>
      <c r="M91" s="2403" t="s">
        <v>2933</v>
      </c>
      <c r="N91" s="2400">
        <f>'Part I-Project Information'!N80</f>
        <v>0</v>
      </c>
      <c r="O91" s="2351"/>
      <c r="P91" s="2362" t="s">
        <v>3905</v>
      </c>
    </row>
    <row r="92" spans="1:16">
      <c r="A92" s="2349"/>
      <c r="B92" s="2349"/>
      <c r="C92" s="2351"/>
      <c r="D92" s="2359"/>
      <c r="E92" s="2402"/>
      <c r="F92" s="2351"/>
      <c r="G92" s="2351"/>
      <c r="H92" s="2347"/>
      <c r="I92" s="2347"/>
      <c r="J92" s="2351"/>
      <c r="K92" s="2362" t="s">
        <v>2934</v>
      </c>
      <c r="L92" s="2400">
        <f>'Part I-Project Information'!L81</f>
        <v>0</v>
      </c>
      <c r="M92" s="2362" t="s">
        <v>3904</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3</v>
      </c>
      <c r="I94" s="2351"/>
      <c r="J94" s="2351"/>
      <c r="K94" s="2351" t="s">
        <v>525</v>
      </c>
      <c r="L94" s="2351"/>
      <c r="M94" s="2351"/>
      <c r="N94" s="2404">
        <f>IF('Part VI-Revenues &amp; Expenses'!$O$62=0,0,H94/'Part VI-Revenues &amp; Expenses'!$O$62)</f>
        <v>6.25E-2</v>
      </c>
      <c r="O94" s="2362" t="s">
        <v>3721</v>
      </c>
      <c r="P94" s="2405">
        <f>'DCA Underwriting Assumptions'!$Q$136</f>
        <v>0.05</v>
      </c>
    </row>
    <row r="95" spans="1:16">
      <c r="A95" s="2349"/>
      <c r="B95" s="2349"/>
      <c r="C95" s="2351"/>
      <c r="D95" s="2370" t="s">
        <v>2859</v>
      </c>
      <c r="E95" s="2370"/>
      <c r="F95" s="2370" t="s">
        <v>804</v>
      </c>
      <c r="G95" s="2351"/>
      <c r="H95" s="2400">
        <f>'Part VIII-Threshold Criteria'!K302</f>
        <v>0</v>
      </c>
      <c r="I95" s="2351"/>
      <c r="J95" s="2351"/>
      <c r="K95" s="2351" t="s">
        <v>2860</v>
      </c>
      <c r="L95" s="2351"/>
      <c r="M95" s="2351"/>
      <c r="N95" s="2404">
        <f>IF(H94=0,0,H95/H94)</f>
        <v>0</v>
      </c>
      <c r="O95" s="2362" t="s">
        <v>3721</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3721</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t="str">
        <f>'Part I-Project Information'!P92</f>
        <v>No</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2727</v>
      </c>
      <c r="D107" s="2351"/>
      <c r="E107" s="2351"/>
      <c r="F107" s="2382" t="s">
        <v>2617</v>
      </c>
      <c r="G107" s="2351"/>
      <c r="H107" s="2356" t="str">
        <f>'Part I-Project Information'!H96</f>
        <v>No</v>
      </c>
      <c r="I107" s="2351"/>
      <c r="J107" s="2351"/>
      <c r="K107" s="2382" t="s">
        <v>3928</v>
      </c>
      <c r="L107" s="2356" t="str">
        <f>'Part I-Project Information'!L96</f>
        <v>No</v>
      </c>
      <c r="M107" s="2351"/>
      <c r="N107" s="2351"/>
      <c r="O107" s="2362" t="s">
        <v>3922</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2728</v>
      </c>
      <c r="D109" s="2351"/>
      <c r="E109" s="2351"/>
      <c r="F109" s="2359" t="s">
        <v>2696</v>
      </c>
      <c r="G109" s="2351"/>
      <c r="H109" s="2356" t="str">
        <f>'Part I-Project Information'!H98</f>
        <v>No</v>
      </c>
      <c r="I109" s="2407" t="s">
        <v>2729</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2802</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3689</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2723</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3</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2439000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Rea GP Holdings Group II &amp; Rea Ventures Group</v>
      </c>
      <c r="D131" s="2363">
        <f>'Part I-Project Information'!D120</f>
        <v>0</v>
      </c>
      <c r="E131" s="2363">
        <f>'Part I-Project Information'!E120</f>
        <v>0</v>
      </c>
      <c r="F131" s="2363" t="str">
        <f>'Part I-Project Information'!F120</f>
        <v>Abbington on Cheshire Bridge</v>
      </c>
      <c r="G131" s="2363">
        <f>'Part I-Project Information'!G120</f>
        <v>0</v>
      </c>
      <c r="H131" s="2363">
        <f>'Part I-Project Information'!H120</f>
        <v>0</v>
      </c>
      <c r="I131" s="2363" t="str">
        <f>'Part I-Project Information'!I120</f>
        <v>Direct</v>
      </c>
      <c r="J131" s="2363" t="str">
        <f>'Part I-Project Information'!J120</f>
        <v>Brady Communities / Brady Development</v>
      </c>
      <c r="K131" s="2363">
        <f>'Part I-Project Information'!K120</f>
        <v>0</v>
      </c>
      <c r="L131" s="2363">
        <f>'Part I-Project Information'!L120</f>
        <v>0</v>
      </c>
      <c r="M131" s="2363" t="str">
        <f>'Part I-Project Information'!M120</f>
        <v>Abbington on Cheshire Bridge</v>
      </c>
      <c r="N131" s="2363">
        <f>'Part I-Project Information'!N120</f>
        <v>0</v>
      </c>
      <c r="O131" s="2363">
        <f>'Part I-Project Information'!O120</f>
        <v>0</v>
      </c>
      <c r="P131" s="2363" t="str">
        <f>'Part I-Project Information'!P120</f>
        <v>Direct</v>
      </c>
    </row>
    <row r="132" spans="1:16" ht="13.5">
      <c r="A132" s="2349"/>
      <c r="B132" s="2349"/>
      <c r="C132" s="2363">
        <f>'Part I-Project Information'!C121</f>
        <v>2</v>
      </c>
      <c r="D132" s="2363">
        <f>'Part I-Project Information'!D121</f>
        <v>0</v>
      </c>
      <c r="E132" s="2363">
        <f>'Part I-Project Information'!E121</f>
        <v>0</v>
      </c>
      <c r="F132" s="2363" t="str">
        <f>'Part I-Project Information'!F121</f>
        <v>Abbington Ridge</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t="str">
        <f>'Part I-Project Information'!M121</f>
        <v>Abbington Ridge</v>
      </c>
      <c r="N132" s="2363">
        <f>'Part I-Project Information'!N121</f>
        <v>0</v>
      </c>
      <c r="O132" s="2363">
        <f>'Part I-Project Information'!O121</f>
        <v>0</v>
      </c>
      <c r="P132" s="2363" t="str">
        <f>'Part I-Project Information'!P121</f>
        <v>Direct</v>
      </c>
    </row>
    <row r="133" spans="1:16" ht="13.5">
      <c r="A133" s="2349"/>
      <c r="B133" s="2349"/>
      <c r="C133" s="2363">
        <f>'Part I-Project Information'!C122</f>
        <v>3</v>
      </c>
      <c r="D133" s="2363">
        <f>'Part I-Project Information'!D122</f>
        <v>0</v>
      </c>
      <c r="E133" s="2363">
        <f>'Part I-Project Information'!E122</f>
        <v>0</v>
      </c>
      <c r="F133" s="2363" t="str">
        <f>'Part I-Project Information'!F122</f>
        <v>Altoview Terrace</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W.J. Rea, Jr/E Buffenbarger/G Coogle III</v>
      </c>
      <c r="D134" s="2363">
        <f>'Part I-Project Information'!D123</f>
        <v>0</v>
      </c>
      <c r="E134" s="2363">
        <f>'Part I-Project Information'!E123</f>
        <v>0</v>
      </c>
      <c r="F134" s="2363" t="str">
        <f>'Part I-Project Information'!F123</f>
        <v>Abbington on Cheshire Bridge</v>
      </c>
      <c r="G134" s="2363">
        <f>'Part I-Project Information'!G123</f>
        <v>0</v>
      </c>
      <c r="H134" s="2363">
        <f>'Part I-Project Information'!H123</f>
        <v>0</v>
      </c>
      <c r="I134" s="2363" t="str">
        <f>'Part I-Project Information'!I123</f>
        <v>Direct</v>
      </c>
      <c r="J134" s="2363" t="str">
        <f>'Part I-Project Information'!J123</f>
        <v>Sean Brady</v>
      </c>
      <c r="K134" s="2363">
        <f>'Part I-Project Information'!K123</f>
        <v>0</v>
      </c>
      <c r="L134" s="2363">
        <f>'Part I-Project Information'!L123</f>
        <v>0</v>
      </c>
      <c r="M134" s="2363" t="str">
        <f>'Part I-Project Information'!M123</f>
        <v>Abbington on Cheshire Bridge</v>
      </c>
      <c r="N134" s="2363">
        <f>'Part I-Project Information'!N123</f>
        <v>0</v>
      </c>
      <c r="O134" s="2363">
        <f>'Part I-Project Information'!O123</f>
        <v>0</v>
      </c>
      <c r="P134" s="2363" t="str">
        <f>'Part I-Project Information'!P123</f>
        <v>Direct</v>
      </c>
    </row>
    <row r="135" spans="1:16" ht="13.5">
      <c r="A135" s="2349"/>
      <c r="B135" s="2349"/>
      <c r="C135" s="2363">
        <f>'Part I-Project Information'!C124</f>
        <v>5</v>
      </c>
      <c r="D135" s="2363">
        <f>'Part I-Project Information'!D124</f>
        <v>0</v>
      </c>
      <c r="E135" s="2363">
        <f>'Part I-Project Information'!E124</f>
        <v>0</v>
      </c>
      <c r="F135" s="2363" t="str">
        <f>'Part I-Project Information'!F124</f>
        <v>Abbington Ridge</v>
      </c>
      <c r="G135" s="2363">
        <f>'Part I-Project Information'!G124</f>
        <v>0</v>
      </c>
      <c r="H135" s="2363">
        <f>'Part I-Project Information'!H124</f>
        <v>0</v>
      </c>
      <c r="I135" s="2363" t="str">
        <f>'Part I-Project Information'!I124</f>
        <v>Direct</v>
      </c>
      <c r="J135" s="2363">
        <f>'Part I-Project Information'!J124</f>
        <v>11</v>
      </c>
      <c r="K135" s="2363">
        <f>'Part I-Project Information'!K124</f>
        <v>0</v>
      </c>
      <c r="L135" s="2363">
        <f>'Part I-Project Information'!L124</f>
        <v>0</v>
      </c>
      <c r="M135" s="2363" t="str">
        <f>'Part I-Project Information'!M124</f>
        <v>Abbington Ridge</v>
      </c>
      <c r="N135" s="2363">
        <f>'Part I-Project Information'!N124</f>
        <v>0</v>
      </c>
      <c r="O135" s="2363">
        <f>'Part I-Project Information'!O124</f>
        <v>0</v>
      </c>
      <c r="P135" s="2363" t="str">
        <f>'Part I-Project Information'!P124</f>
        <v>Direct</v>
      </c>
    </row>
    <row r="136" spans="1:16" ht="13.5">
      <c r="A136" s="2349"/>
      <c r="B136" s="2349"/>
      <c r="C136" s="2363">
        <f>'Part I-Project Information'!C125</f>
        <v>6</v>
      </c>
      <c r="D136" s="2363">
        <f>'Part I-Project Information'!D125</f>
        <v>0</v>
      </c>
      <c r="E136" s="2363">
        <f>'Part I-Project Information'!E125</f>
        <v>0</v>
      </c>
      <c r="F136" s="2363" t="str">
        <f>'Part I-Project Information'!F125</f>
        <v>Altoview Terrace</v>
      </c>
      <c r="G136" s="2363">
        <f>'Part I-Project Information'!G125</f>
        <v>0</v>
      </c>
      <c r="H136" s="2363">
        <f>'Part I-Project Information'!H125</f>
        <v>0</v>
      </c>
      <c r="I136" s="2363" t="str">
        <f>'Part I-Project Information'!I125</f>
        <v>Direct</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t="str">
        <f>'Part I-Project Information'!C130</f>
        <v>Rea GP Holdings Group II &amp; Rea Ventures Group</v>
      </c>
      <c r="D141" s="2363">
        <f>'Part I-Project Information'!D130</f>
        <v>0</v>
      </c>
      <c r="E141" s="2363">
        <f>'Part I-Project Information'!E130</f>
        <v>0</v>
      </c>
      <c r="F141" s="2363" t="str">
        <f>'Part I-Project Information'!F130</f>
        <v>Altoview Terrace</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t="str">
        <f>'Part I-Project Information'!C132</f>
        <v>W.J. Rea, Jr/E Buffenbarger/G Coogle III</v>
      </c>
      <c r="D143" s="2363">
        <f>'Part I-Project Information'!D132</f>
        <v>0</v>
      </c>
      <c r="E143" s="2363">
        <f>'Part I-Project Information'!E132</f>
        <v>0</v>
      </c>
      <c r="F143" s="2363" t="str">
        <f>'Part I-Project Information'!F132</f>
        <v>Altoview Terrace</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t="str">
        <f>'Part I-Project Information'!C134</f>
        <v>Northwest Georgia Housing Authority (inexp)</v>
      </c>
      <c r="D145" s="2363">
        <f>'Part I-Project Information'!D134</f>
        <v>0</v>
      </c>
      <c r="E145" s="2363">
        <f>'Part I-Project Information'!E134</f>
        <v>0</v>
      </c>
      <c r="F145" s="2363" t="str">
        <f>'Part I-Project Information'!F134</f>
        <v>Altoview Terrace</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2720</v>
      </c>
      <c r="D160" s="2370"/>
      <c r="E160" s="2370"/>
      <c r="F160" s="2356"/>
      <c r="G160" s="2356"/>
      <c r="H160" s="2351"/>
      <c r="I160" s="2351"/>
      <c r="J160" s="2351"/>
      <c r="K160" s="2351"/>
      <c r="L160" s="2351"/>
      <c r="M160" s="2351"/>
      <c r="N160" s="2351"/>
      <c r="O160" s="2351"/>
      <c r="P160" s="2373"/>
    </row>
    <row r="161" spans="1:16">
      <c r="A161" s="2349"/>
      <c r="B161" s="2349"/>
      <c r="C161" s="2370" t="s">
        <v>4752</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4753</v>
      </c>
      <c r="D168" s="2351"/>
      <c r="E168" s="2351"/>
      <c r="F168" s="2351"/>
      <c r="G168" s="2351"/>
      <c r="H168" s="2400">
        <f>'Part I-Project Information'!H157</f>
        <v>0</v>
      </c>
      <c r="I168" s="2357"/>
      <c r="J168" s="2415" t="s">
        <v>3751</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2721</v>
      </c>
      <c r="D174" s="2402"/>
      <c r="E174" s="2402"/>
      <c r="F174" s="2402"/>
      <c r="G174" s="2402"/>
      <c r="H174" s="2351"/>
      <c r="I174" s="2376" t="str">
        <f>'Part I-Project Information'!I163</f>
        <v>No</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2722</v>
      </c>
      <c r="D176" s="2402"/>
      <c r="E176" s="2402"/>
      <c r="F176" s="2402"/>
      <c r="G176" s="2402"/>
      <c r="H176" s="2351"/>
      <c r="I176" s="2376" t="str">
        <f>'Part I-Project Information'!I165</f>
        <v>Yes</v>
      </c>
      <c r="J176" s="2382" t="s">
        <v>769</v>
      </c>
      <c r="K176" s="2382"/>
      <c r="L176" s="2376">
        <f>'Part I-Project Information'!L165</f>
        <v>20</v>
      </c>
      <c r="M176" s="2351" t="s">
        <v>2342</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2772</v>
      </c>
      <c r="K180" s="2351"/>
      <c r="L180" s="2382" t="s">
        <v>4754</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No</v>
      </c>
      <c r="J185" s="2351"/>
      <c r="K185" s="2351"/>
      <c r="L185" s="2351" t="s">
        <v>2864</v>
      </c>
      <c r="M185" s="2351"/>
      <c r="N185" s="2351"/>
      <c r="O185" s="2351"/>
      <c r="P185" s="2376" t="str">
        <f>'Part I-Project Information'!P174</f>
        <v>No</v>
      </c>
    </row>
    <row r="186" spans="1:16" ht="13.5">
      <c r="A186" s="2349"/>
      <c r="B186" s="2351"/>
      <c r="C186" s="2351" t="s">
        <v>2741</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f>'Part I-Project Information'!P175</f>
        <v>0</v>
      </c>
    </row>
    <row r="187" spans="1:16" ht="13.5">
      <c r="A187" s="2349"/>
      <c r="B187" s="2349"/>
      <c r="C187" s="2351" t="s">
        <v>1297</v>
      </c>
      <c r="D187" s="2421"/>
      <c r="E187" s="2351"/>
      <c r="F187" s="2351"/>
      <c r="G187" s="2351"/>
      <c r="H187" s="2351"/>
      <c r="I187" s="2376" t="str">
        <f>'Part I-Project Information'!I176</f>
        <v>No</v>
      </c>
      <c r="J187" s="2351"/>
      <c r="K187" s="2348"/>
      <c r="L187" s="2351" t="s">
        <v>3506</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2773</v>
      </c>
      <c r="K188" s="2351"/>
      <c r="L188" s="2351"/>
      <c r="M188" s="2351"/>
      <c r="N188" s="2351"/>
      <c r="O188" s="2422">
        <f>'Part I-Project Information'!O177</f>
        <v>0</v>
      </c>
      <c r="P188" s="2422">
        <f>'Part I-Project Information'!P177</f>
        <v>0</v>
      </c>
    </row>
    <row r="189" spans="1:16">
      <c r="A189" s="2349"/>
      <c r="B189" s="2349"/>
      <c r="C189" s="2351" t="s">
        <v>2922</v>
      </c>
      <c r="D189" s="2351"/>
      <c r="E189" s="2351"/>
      <c r="F189" s="2351"/>
      <c r="G189" s="2351"/>
      <c r="H189" s="2351"/>
      <c r="I189" s="2376" t="str">
        <f>'Part I-Project Information'!I178</f>
        <v>No</v>
      </c>
      <c r="J189" s="2418" t="s">
        <v>2773</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44105</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2801</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All development team members are experienced in multifamily LIHTC housing.  Project team was deemed "Qualified" by DCA on April 30, 2018 for PA18-069 Abbington on Englewood.  The same development team as was proposed in Abbington on Englewood will comprise the development team for Abbington on Cheshire Bridge.  There have been no changes to the organizational structure since DCA's qualification determination.  
***Request for Waiver of  Project Cap Limitation***
William J. Rea, Jr. as Certifying Entity for Rea Ventures Group, LLC's current year applications (Abbington on Cheshire Bridge &amp; Abbington Ridge) was approached by NWGHA with a partnering opportunity.  At Preapplication NWGHA was deemed "Not Qualified and must Partner with a qualified Certifying Entity" on PA18-070 Altoview Terrace.  As we are currently partnering with NWGHA on two 4% RAD rehabs in Rome, we were the logical choice to partner with them on their 2018 9% applicaiton, Altoview Terrace.  The 2018 QAP states the following under Threshold Criteria (Page 40 of 64):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on Cheshire Bridge and Abbington Ridge respectfully request that DCA waives the Award Limitation of Maximum Ownership /Development Interests (Page 27 of 46 in the QAP Core) of only 2 selected projects, if all three of the applications ultimately would have been selected based on all other QAP criteria.</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2018-046 Abbington on Cheshire Bridge,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4517</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4314</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Atlanta Abbington on Cheshire Bridge,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William J. Rea, Jr.</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2964 Peachtree Road NW, Suite 200</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v>
      </c>
      <c r="R209" s="2351">
        <f>'Part II-Development Team'!R6</f>
        <v>0</v>
      </c>
      <c r="S209" s="2351">
        <f>'Part II-Development Team'!S6</f>
        <v>0</v>
      </c>
    </row>
    <row r="210" spans="1:19">
      <c r="A210" s="2351"/>
      <c r="B210" s="2351"/>
      <c r="C210" s="2351"/>
      <c r="D210" s="2424"/>
      <c r="E210" s="2359" t="s">
        <v>624</v>
      </c>
      <c r="F210" s="2351"/>
      <c r="G210" s="2351"/>
      <c r="H210" s="2351" t="str">
        <f>'Part II-Development Team'!H7</f>
        <v>Atlanta</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4042504093</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303052119</v>
      </c>
      <c r="K211" s="2371">
        <f>'Part II-Development Team'!K8</f>
        <v>0</v>
      </c>
      <c r="L211" s="2351" t="s">
        <v>3713</v>
      </c>
      <c r="M211" s="2351" t="str">
        <f>'Part II-Development Team'!M8</f>
        <v>For Profit</v>
      </c>
      <c r="N211" s="2351">
        <f>'Part II-Development Team'!N8</f>
        <v>0</v>
      </c>
      <c r="O211" s="2359" t="s">
        <v>1995</v>
      </c>
      <c r="P211" s="2351"/>
      <c r="Q211" s="2372">
        <f>'Part II-Development Team'!Q8</f>
        <v>4042731892</v>
      </c>
      <c r="R211" s="2372">
        <f>'Part II-Development Team'!R8</f>
        <v>0</v>
      </c>
      <c r="S211" s="2372">
        <f>'Part II-Development Team'!S8</f>
        <v>0</v>
      </c>
    </row>
    <row r="212" spans="1:19">
      <c r="A212" s="2351"/>
      <c r="B212" s="2351"/>
      <c r="C212" s="2351"/>
      <c r="D212" s="2424"/>
      <c r="E212" s="2359" t="s">
        <v>4315</v>
      </c>
      <c r="F212" s="2351"/>
      <c r="G212" s="2351"/>
      <c r="H212" s="2372">
        <f>'Part II-Development Team'!H9</f>
        <v>4042504093</v>
      </c>
      <c r="I212" s="2372">
        <f>'Part II-Development Team'!I9</f>
        <v>0</v>
      </c>
      <c r="J212" s="2376">
        <f>'Part II-Development Team'!J9</f>
        <v>0</v>
      </c>
      <c r="K212" s="2356" t="s">
        <v>2000</v>
      </c>
      <c r="L212" s="2367" t="str">
        <f>'Part II-Development Team'!L9</f>
        <v>billrea@reaventures.com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4314</v>
      </c>
      <c r="F213" s="2351"/>
      <c r="G213" s="2351"/>
      <c r="H213" s="2416"/>
      <c r="I213" s="2351"/>
      <c r="J213" s="2351"/>
      <c r="K213" s="2363"/>
      <c r="L213" s="2351"/>
      <c r="M213" s="2351"/>
      <c r="N213" s="2348" t="s">
        <v>4542</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Abbington on Cheshire Bridge Partner,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William J. Rea, Jr.</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2964 Peachtree Road NW, Suite 200</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Manager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Atlanta</v>
      </c>
      <c r="I219" s="2351">
        <f>'Part II-Development Team'!I16</f>
        <v>0</v>
      </c>
      <c r="J219" s="2351">
        <f>'Part II-Development Team'!J16</f>
        <v>0</v>
      </c>
      <c r="K219" s="2356" t="s">
        <v>2723</v>
      </c>
      <c r="L219" s="2351">
        <f>'Part II-Development Team'!L16</f>
        <v>0</v>
      </c>
      <c r="M219" s="2351">
        <f>'Part II-Development Team'!M16</f>
        <v>0</v>
      </c>
      <c r="N219" s="2351">
        <f>'Part II-Development Team'!N16</f>
        <v>0</v>
      </c>
      <c r="O219" s="2359" t="s">
        <v>1734</v>
      </c>
      <c r="P219" s="2351"/>
      <c r="Q219" s="2372">
        <f>'Part II-Development Team'!Q16</f>
        <v>4042504093</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303052119</v>
      </c>
      <c r="M220" s="2371">
        <f>'Part II-Development Team'!M17</f>
        <v>0</v>
      </c>
      <c r="N220" s="2351"/>
      <c r="O220" s="2359" t="s">
        <v>1995</v>
      </c>
      <c r="P220" s="2351"/>
      <c r="Q220" s="2372">
        <f>'Part II-Development Team'!Q17</f>
        <v>4042731892</v>
      </c>
      <c r="R220" s="2372">
        <f>'Part II-Development Team'!R17</f>
        <v>0</v>
      </c>
      <c r="S220" s="2372">
        <f>'Part II-Development Team'!S17</f>
        <v>0</v>
      </c>
    </row>
    <row r="221" spans="1:19">
      <c r="A221" s="2351"/>
      <c r="B221" s="2351"/>
      <c r="C221" s="2351"/>
      <c r="D221" s="2424"/>
      <c r="E221" s="2359" t="s">
        <v>4315</v>
      </c>
      <c r="F221" s="2351"/>
      <c r="G221" s="2351"/>
      <c r="H221" s="2372">
        <f>'Part II-Development Team'!H18</f>
        <v>0</v>
      </c>
      <c r="I221" s="2372">
        <f>'Part II-Development Team'!I18</f>
        <v>0</v>
      </c>
      <c r="J221" s="2376">
        <f>'Part II-Development Team'!J18</f>
        <v>0</v>
      </c>
      <c r="K221" s="2356" t="s">
        <v>2000</v>
      </c>
      <c r="L221" s="2367" t="str">
        <f>'Part II-Development Team'!L18</f>
        <v>billrea@reaventures.com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2723</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4315</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2723</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4315</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4314</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SunTrust Community Capital, LLC</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Brian Womble</v>
      </c>
      <c r="R236" s="2351">
        <f>'Part II-Development Team'!R33</f>
        <v>0</v>
      </c>
      <c r="S236" s="2351">
        <f>'Part II-Development Team'!S33</f>
        <v>0</v>
      </c>
    </row>
    <row r="237" spans="1:19">
      <c r="A237" s="2351"/>
      <c r="B237" s="2351"/>
      <c r="C237" s="2351"/>
      <c r="D237" s="2424"/>
      <c r="E237" s="2359" t="s">
        <v>1031</v>
      </c>
      <c r="F237" s="2362"/>
      <c r="G237" s="2351"/>
      <c r="H237" s="2351">
        <f>'Part II-Development Team'!H34</f>
        <v>0</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Senior 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Atlanta</v>
      </c>
      <c r="I238" s="2351">
        <f>'Part II-Development Team'!I35</f>
        <v>0</v>
      </c>
      <c r="J238" s="2351">
        <f>'Part II-Development Team'!J35</f>
        <v>0</v>
      </c>
      <c r="K238" s="2356" t="s">
        <v>2723</v>
      </c>
      <c r="L238" s="2351" t="str">
        <f>'Part II-Development Team'!L35</f>
        <v>www.suntrust.com</v>
      </c>
      <c r="M238" s="2351">
        <f>'Part II-Development Team'!M35</f>
        <v>0</v>
      </c>
      <c r="N238" s="2351">
        <f>'Part II-Development Team'!N35</f>
        <v>0</v>
      </c>
      <c r="O238" s="2359" t="s">
        <v>1734</v>
      </c>
      <c r="P238" s="2351"/>
      <c r="Q238" s="2372">
        <f>'Part II-Development Team'!Q35</f>
        <v>4045888775</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GA</v>
      </c>
      <c r="I239" s="2351"/>
      <c r="J239" s="2351"/>
      <c r="K239" s="2356" t="s">
        <v>2245</v>
      </c>
      <c r="L239" s="2371">
        <f>'Part II-Development Team'!L36</f>
        <v>0</v>
      </c>
      <c r="M239" s="2371">
        <f>'Part II-Development Team'!M36</f>
        <v>0</v>
      </c>
      <c r="N239" s="2351"/>
      <c r="O239" s="2359" t="s">
        <v>1995</v>
      </c>
      <c r="P239" s="2351"/>
      <c r="Q239" s="2372">
        <f>'Part II-Development Team'!Q36</f>
        <v>7706390087</v>
      </c>
      <c r="R239" s="2372">
        <f>'Part II-Development Team'!R36</f>
        <v>0</v>
      </c>
      <c r="S239" s="2372">
        <f>'Part II-Development Team'!S36</f>
        <v>0</v>
      </c>
    </row>
    <row r="240" spans="1:19">
      <c r="A240" s="2351"/>
      <c r="B240" s="2351"/>
      <c r="C240" s="2351"/>
      <c r="D240" s="2424"/>
      <c r="E240" s="2359" t="s">
        <v>4315</v>
      </c>
      <c r="F240" s="2351"/>
      <c r="G240" s="2351"/>
      <c r="H240" s="2372">
        <f>'Part II-Development Team'!H37</f>
        <v>4045888775</v>
      </c>
      <c r="I240" s="2372">
        <f>'Part II-Development Team'!I37</f>
        <v>0</v>
      </c>
      <c r="J240" s="2376">
        <f>'Part II-Development Team'!J37</f>
        <v>0</v>
      </c>
      <c r="K240" s="2356" t="s">
        <v>2000</v>
      </c>
      <c r="L240" s="2367" t="str">
        <f>'Part II-Development Team'!L37</f>
        <v>brian.womble@suntrust.com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SunTrust Community Capital, LLC</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Brian Womble</v>
      </c>
      <c r="R242" s="2351">
        <f>'Part II-Development Team'!R39</f>
        <v>0</v>
      </c>
      <c r="S242" s="2351">
        <f>'Part II-Development Team'!S39</f>
        <v>0</v>
      </c>
    </row>
    <row r="243" spans="1:19">
      <c r="A243" s="2351"/>
      <c r="B243" s="2351"/>
      <c r="C243" s="2351"/>
      <c r="D243" s="2424"/>
      <c r="E243" s="2359" t="s">
        <v>1031</v>
      </c>
      <c r="F243" s="2362"/>
      <c r="G243" s="2351"/>
      <c r="H243" s="2351">
        <f>'Part II-Development Team'!H40</f>
        <v>0</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Senior Vice President</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Atlanta</v>
      </c>
      <c r="I244" s="2351">
        <f>'Part II-Development Team'!I41</f>
        <v>0</v>
      </c>
      <c r="J244" s="2351">
        <f>'Part II-Development Team'!J41</f>
        <v>0</v>
      </c>
      <c r="K244" s="2356" t="s">
        <v>2723</v>
      </c>
      <c r="L244" s="2351" t="str">
        <f>'Part II-Development Team'!L41</f>
        <v>www.suntrust.com</v>
      </c>
      <c r="M244" s="2351">
        <f>'Part II-Development Team'!M41</f>
        <v>0</v>
      </c>
      <c r="N244" s="2351">
        <f>'Part II-Development Team'!N41</f>
        <v>0</v>
      </c>
      <c r="O244" s="2359" t="s">
        <v>1734</v>
      </c>
      <c r="P244" s="2351"/>
      <c r="Q244" s="2372">
        <f>'Part II-Development Team'!Q41</f>
        <v>4045888775</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GA</v>
      </c>
      <c r="I245" s="2351"/>
      <c r="J245" s="2351"/>
      <c r="K245" s="2356" t="s">
        <v>2245</v>
      </c>
      <c r="L245" s="2371">
        <f>'Part II-Development Team'!L42</f>
        <v>0</v>
      </c>
      <c r="M245" s="2371">
        <f>'Part II-Development Team'!M42</f>
        <v>0</v>
      </c>
      <c r="N245" s="2351"/>
      <c r="O245" s="2359" t="s">
        <v>1995</v>
      </c>
      <c r="P245" s="2351"/>
      <c r="Q245" s="2372">
        <f>'Part II-Development Team'!Q42</f>
        <v>7706390087</v>
      </c>
      <c r="R245" s="2372">
        <f>'Part II-Development Team'!R42</f>
        <v>0</v>
      </c>
      <c r="S245" s="2372">
        <f>'Part II-Development Team'!S42</f>
        <v>0</v>
      </c>
    </row>
    <row r="246" spans="1:19">
      <c r="A246" s="2351"/>
      <c r="B246" s="2351"/>
      <c r="C246" s="2351"/>
      <c r="D246" s="2424"/>
      <c r="E246" s="2359" t="s">
        <v>4315</v>
      </c>
      <c r="F246" s="2351"/>
      <c r="G246" s="2351"/>
      <c r="H246" s="2372">
        <f>'Part II-Development Team'!H43</f>
        <v>4045888775</v>
      </c>
      <c r="I246" s="2372">
        <f>'Part II-Development Team'!I43</f>
        <v>0</v>
      </c>
      <c r="J246" s="2376">
        <f>'Part II-Development Team'!J43</f>
        <v>0</v>
      </c>
      <c r="K246" s="2356" t="s">
        <v>2000</v>
      </c>
      <c r="L246" s="2367" t="str">
        <f>'Part II-Development Team'!L43</f>
        <v>brian.womble@suntrust.com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4314</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2723</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4315</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4314</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Rea Ventures Group,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William J. Rea, Jr.</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2964 Peachtree Road NW, Suite 200</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Atlanta</v>
      </c>
      <c r="I259" s="2351">
        <f>'Part II-Development Team'!I56</f>
        <v>0</v>
      </c>
      <c r="J259" s="2351">
        <f>'Part II-Development Team'!J56</f>
        <v>0</v>
      </c>
      <c r="K259" s="2356" t="s">
        <v>2723</v>
      </c>
      <c r="L259" s="2351" t="str">
        <f>'Part II-Development Team'!L56</f>
        <v>www.reaventures.com</v>
      </c>
      <c r="M259" s="2351">
        <f>'Part II-Development Team'!M56</f>
        <v>0</v>
      </c>
      <c r="N259" s="2351">
        <f>'Part II-Development Team'!N56</f>
        <v>0</v>
      </c>
      <c r="O259" s="2359" t="s">
        <v>1734</v>
      </c>
      <c r="P259" s="2351"/>
      <c r="Q259" s="2372">
        <f>'Part II-Development Team'!Q56</f>
        <v>0</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303052119</v>
      </c>
      <c r="M260" s="2371">
        <f>'Part II-Development Team'!M57</f>
        <v>0</v>
      </c>
      <c r="N260" s="2351"/>
      <c r="O260" s="2359" t="s">
        <v>1995</v>
      </c>
      <c r="P260" s="2351"/>
      <c r="Q260" s="2372">
        <f>'Part II-Development Team'!Q57</f>
        <v>4042731892</v>
      </c>
      <c r="R260" s="2372">
        <f>'Part II-Development Team'!R57</f>
        <v>0</v>
      </c>
      <c r="S260" s="2372">
        <f>'Part II-Development Team'!S57</f>
        <v>0</v>
      </c>
    </row>
    <row r="261" spans="1:19">
      <c r="A261" s="2351"/>
      <c r="B261" s="2351"/>
      <c r="C261" s="2351"/>
      <c r="D261" s="2424"/>
      <c r="E261" s="2359" t="s">
        <v>4315</v>
      </c>
      <c r="F261" s="2351"/>
      <c r="G261" s="2351"/>
      <c r="H261" s="2372">
        <f>'Part II-Development Team'!H58</f>
        <v>4042504093</v>
      </c>
      <c r="I261" s="2372">
        <f>'Part II-Development Team'!I58</f>
        <v>0</v>
      </c>
      <c r="J261" s="2376">
        <f>'Part II-Development Team'!J58</f>
        <v>703</v>
      </c>
      <c r="K261" s="2356" t="s">
        <v>2000</v>
      </c>
      <c r="L261" s="2367" t="str">
        <f>'Part II-Development Team'!L58</f>
        <v>billrea@reaventures.com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t="str">
        <f>'Part II-Development Team'!H60</f>
        <v>Brady Development, LLC</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t="str">
        <f>'Part II-Development Team'!Q60</f>
        <v>Sean Brady</v>
      </c>
      <c r="R263" s="2351">
        <f>'Part II-Development Team'!R60</f>
        <v>0</v>
      </c>
      <c r="S263" s="2351">
        <f>'Part II-Development Team'!S60</f>
        <v>0</v>
      </c>
    </row>
    <row r="264" spans="1:19">
      <c r="A264" s="2351"/>
      <c r="B264" s="2351"/>
      <c r="C264" s="2351"/>
      <c r="D264" s="2424"/>
      <c r="E264" s="2359" t="s">
        <v>1031</v>
      </c>
      <c r="F264" s="2362"/>
      <c r="G264" s="2351"/>
      <c r="H264" s="2351" t="str">
        <f>'Part II-Development Team'!H61</f>
        <v>4625 Jefferson Lane SW</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t="str">
        <f>'Part II-Development Team'!Q61</f>
        <v>Manager</v>
      </c>
      <c r="R264" s="2351">
        <f>'Part II-Development Team'!R61</f>
        <v>0</v>
      </c>
      <c r="S264" s="2351">
        <f>'Part II-Development Team'!S61</f>
        <v>0</v>
      </c>
    </row>
    <row r="265" spans="1:19">
      <c r="A265" s="2351"/>
      <c r="B265" s="2351"/>
      <c r="C265" s="2351"/>
      <c r="D265" s="2424"/>
      <c r="E265" s="2359" t="s">
        <v>624</v>
      </c>
      <c r="F265" s="2351"/>
      <c r="G265" s="2351"/>
      <c r="H265" s="2351" t="str">
        <f>'Part II-Development Team'!H62</f>
        <v>Lilburn</v>
      </c>
      <c r="I265" s="2351">
        <f>'Part II-Development Team'!I62</f>
        <v>0</v>
      </c>
      <c r="J265" s="2351">
        <f>'Part II-Development Team'!J62</f>
        <v>0</v>
      </c>
      <c r="K265" s="2356" t="s">
        <v>2723</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t="str">
        <f>'Part II-Development Team'!H63</f>
        <v>GA</v>
      </c>
      <c r="I266" s="2351"/>
      <c r="J266" s="2351"/>
      <c r="K266" s="2356" t="s">
        <v>2245</v>
      </c>
      <c r="L266" s="2371">
        <f>'Part II-Development Team'!L63</f>
        <v>300474264</v>
      </c>
      <c r="M266" s="2371">
        <f>'Part II-Development Team'!M63</f>
        <v>0</v>
      </c>
      <c r="N266" s="2351"/>
      <c r="O266" s="2359" t="s">
        <v>1995</v>
      </c>
      <c r="P266" s="2351"/>
      <c r="Q266" s="2372">
        <f>'Part II-Development Team'!Q63</f>
        <v>4042504093</v>
      </c>
      <c r="R266" s="2372">
        <f>'Part II-Development Team'!R63</f>
        <v>0</v>
      </c>
      <c r="S266" s="2372">
        <f>'Part II-Development Team'!S63</f>
        <v>0</v>
      </c>
    </row>
    <row r="267" spans="1:19">
      <c r="A267" s="2351"/>
      <c r="B267" s="2351"/>
      <c r="C267" s="2351"/>
      <c r="D267" s="2424"/>
      <c r="E267" s="2359" t="s">
        <v>4315</v>
      </c>
      <c r="F267" s="2351"/>
      <c r="G267" s="2351"/>
      <c r="H267" s="2372">
        <f>'Part II-Development Team'!H64</f>
        <v>4044066697</v>
      </c>
      <c r="I267" s="2372">
        <f>'Part II-Development Team'!I64</f>
        <v>0</v>
      </c>
      <c r="J267" s="2376">
        <f>'Part II-Development Team'!J64</f>
        <v>0</v>
      </c>
      <c r="K267" s="2356" t="s">
        <v>2000</v>
      </c>
      <c r="L267" s="2367" t="str">
        <f>'Part II-Development Team'!L64</f>
        <v>sbrady820@yahoo.com</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2723</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4315</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2723</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4315</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4314</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2723</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4315</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Great Southern, LLC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Mike McGlamry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2009 Springhill Drive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Manager</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Valdosta</v>
      </c>
      <c r="I291" s="2351">
        <f>'Part II-Development Team'!I88</f>
        <v>0</v>
      </c>
      <c r="J291" s="2351">
        <f>'Part II-Development Team'!J88</f>
        <v>0</v>
      </c>
      <c r="K291" s="2356" t="s">
        <v>2723</v>
      </c>
      <c r="L291" s="2351" t="str">
        <f>'Part II-Development Team'!L88</f>
        <v>www.greatsouthernllc.com</v>
      </c>
      <c r="M291" s="2351">
        <f>'Part II-Development Team'!M88</f>
        <v>0</v>
      </c>
      <c r="N291" s="2351">
        <f>'Part II-Development Team'!N88</f>
        <v>0</v>
      </c>
      <c r="O291" s="2359" t="s">
        <v>1734</v>
      </c>
      <c r="P291" s="2351"/>
      <c r="Q291" s="2372">
        <f>'Part II-Development Team'!Q88</f>
        <v>2295619997</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316022135</v>
      </c>
      <c r="M292" s="2371">
        <f>'Part II-Development Team'!M89</f>
        <v>0</v>
      </c>
      <c r="N292" s="2351"/>
      <c r="O292" s="2359" t="s">
        <v>1995</v>
      </c>
      <c r="P292" s="2351"/>
      <c r="Q292" s="2372">
        <f>'Part II-Development Team'!Q89</f>
        <v>2295619997</v>
      </c>
      <c r="R292" s="2372">
        <f>'Part II-Development Team'!R89</f>
        <v>0</v>
      </c>
      <c r="S292" s="2372">
        <f>'Part II-Development Team'!S89</f>
        <v>0</v>
      </c>
    </row>
    <row r="293" spans="1:19">
      <c r="A293" s="2351"/>
      <c r="B293" s="2351"/>
      <c r="C293" s="2351"/>
      <c r="D293" s="2424"/>
      <c r="E293" s="2359" t="s">
        <v>4315</v>
      </c>
      <c r="F293" s="2351"/>
      <c r="G293" s="2351"/>
      <c r="H293" s="2372">
        <f>'Part II-Development Team'!H90</f>
        <v>2295066876</v>
      </c>
      <c r="I293" s="2372">
        <f>'Part II-Development Team'!I90</f>
        <v>0</v>
      </c>
      <c r="J293" s="2376">
        <f>'Part II-Development Team'!J90</f>
        <v>0</v>
      </c>
      <c r="K293" s="2356" t="s">
        <v>2000</v>
      </c>
      <c r="L293" s="2367" t="str">
        <f>'Part II-Development Team'!L90</f>
        <v>mike@greatsouthernllc.com</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Boyd Management</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Babbie Jaco</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P.O. Box 23589</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Vice President</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Columbia</v>
      </c>
      <c r="I297" s="2351">
        <f>'Part II-Development Team'!I94</f>
        <v>0</v>
      </c>
      <c r="J297" s="2351">
        <f>'Part II-Development Team'!J94</f>
        <v>0</v>
      </c>
      <c r="K297" s="2356" t="s">
        <v>2723</v>
      </c>
      <c r="L297" s="2351" t="str">
        <f>'Part II-Development Team'!L94</f>
        <v>www.boydmanagement.com</v>
      </c>
      <c r="M297" s="2351">
        <f>'Part II-Development Team'!M94</f>
        <v>0</v>
      </c>
      <c r="N297" s="2351">
        <f>'Part II-Development Team'!N94</f>
        <v>0</v>
      </c>
      <c r="O297" s="2359" t="s">
        <v>1734</v>
      </c>
      <c r="P297" s="2351"/>
      <c r="Q297" s="2372">
        <f>'Part II-Development Team'!Q94</f>
        <v>8034196556</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SC</v>
      </c>
      <c r="I298" s="2351"/>
      <c r="J298" s="2351"/>
      <c r="K298" s="2356" t="s">
        <v>2245</v>
      </c>
      <c r="L298" s="2371">
        <f>'Part II-Development Team'!L95</f>
        <v>292243589</v>
      </c>
      <c r="M298" s="2371">
        <f>'Part II-Development Team'!M95</f>
        <v>0</v>
      </c>
      <c r="N298" s="2351"/>
      <c r="O298" s="2359" t="s">
        <v>1995</v>
      </c>
      <c r="P298" s="2351"/>
      <c r="Q298" s="2372">
        <f>'Part II-Development Team'!Q95</f>
        <v>8034229886</v>
      </c>
      <c r="R298" s="2372">
        <f>'Part II-Development Team'!R95</f>
        <v>0</v>
      </c>
      <c r="S298" s="2372">
        <f>'Part II-Development Team'!S95</f>
        <v>0</v>
      </c>
    </row>
    <row r="299" spans="1:19">
      <c r="A299" s="2351"/>
      <c r="B299" s="2351"/>
      <c r="C299" s="2351"/>
      <c r="D299" s="2424"/>
      <c r="E299" s="2359" t="s">
        <v>4315</v>
      </c>
      <c r="F299" s="2351"/>
      <c r="G299" s="2351"/>
      <c r="H299" s="2372">
        <f>'Part II-Development Team'!H96</f>
        <v>8034196556</v>
      </c>
      <c r="I299" s="2372">
        <f>'Part II-Development Team'!I96</f>
        <v>0</v>
      </c>
      <c r="J299" s="2376">
        <f>'Part II-Development Team'!J96</f>
        <v>0</v>
      </c>
      <c r="K299" s="2356" t="s">
        <v>2000</v>
      </c>
      <c r="L299" s="2367" t="str">
        <f>'Part II-Development Team'!L96</f>
        <v>babbie.jaco@boydmanagement.com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 LLC</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North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2723</v>
      </c>
      <c r="L303" s="2351" t="str">
        <f>'Part II-Development Team'!L100</f>
        <v>www.colemantalley.com</v>
      </c>
      <c r="M303" s="2351">
        <f>'Part II-Development Team'!M100</f>
        <v>0</v>
      </c>
      <c r="N303" s="2351">
        <f>'Part II-Development Team'!N100</f>
        <v>0</v>
      </c>
      <c r="O303" s="2359" t="s">
        <v>1734</v>
      </c>
      <c r="P303" s="2351"/>
      <c r="Q303" s="2372">
        <f>'Part II-Development Team'!Q100</f>
        <v>2296718260</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316014531</v>
      </c>
      <c r="M304" s="2371">
        <f>'Part II-Development Team'!M101</f>
        <v>0</v>
      </c>
      <c r="N304" s="2351"/>
      <c r="O304" s="2359" t="s">
        <v>1995</v>
      </c>
      <c r="P304" s="2351"/>
      <c r="Q304" s="2372">
        <f>'Part II-Development Team'!Q101</f>
        <v>2298349704</v>
      </c>
      <c r="R304" s="2372">
        <f>'Part II-Development Team'!R101</f>
        <v>0</v>
      </c>
      <c r="S304" s="2372">
        <f>'Part II-Development Team'!S101</f>
        <v>0</v>
      </c>
    </row>
    <row r="305" spans="1:19">
      <c r="A305" s="2358"/>
      <c r="B305" s="2358"/>
      <c r="C305" s="2358"/>
      <c r="D305" s="2358"/>
      <c r="E305" s="2359" t="s">
        <v>4315</v>
      </c>
      <c r="F305" s="2351"/>
      <c r="G305" s="2351"/>
      <c r="H305" s="2372">
        <f>'Part II-Development Team'!H102</f>
        <v>2292427562</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Aprio</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Frank Gudger</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Five Concourse Parkway, Suite 1000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Atlanta</v>
      </c>
      <c r="I309" s="2351">
        <f>'Part II-Development Team'!I106</f>
        <v>0</v>
      </c>
      <c r="J309" s="2351">
        <f>'Part II-Development Team'!J106</f>
        <v>0</v>
      </c>
      <c r="K309" s="2356" t="s">
        <v>2723</v>
      </c>
      <c r="L309" s="2351" t="str">
        <f>'Part II-Development Team'!L106</f>
        <v>www.aprio.com</v>
      </c>
      <c r="M309" s="2351">
        <f>'Part II-Development Team'!M106</f>
        <v>0</v>
      </c>
      <c r="N309" s="2351">
        <f>'Part II-Development Team'!N106</f>
        <v>0</v>
      </c>
      <c r="O309" s="2359" t="s">
        <v>1734</v>
      </c>
      <c r="P309" s="2351"/>
      <c r="Q309" s="2372">
        <f>'Part II-Development Team'!Q106</f>
        <v>4048988244</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303286132</v>
      </c>
      <c r="M310" s="2371">
        <f>'Part II-Development Team'!M107</f>
        <v>0</v>
      </c>
      <c r="N310" s="2351"/>
      <c r="O310" s="2359" t="s">
        <v>1995</v>
      </c>
      <c r="P310" s="2351"/>
      <c r="Q310" s="2372">
        <f>'Part II-Development Team'!Q107</f>
        <v>6783620453</v>
      </c>
      <c r="R310" s="2372">
        <f>'Part II-Development Team'!R107</f>
        <v>0</v>
      </c>
      <c r="S310" s="2372">
        <f>'Part II-Development Team'!S107</f>
        <v>0</v>
      </c>
    </row>
    <row r="311" spans="1:19">
      <c r="A311" s="2358"/>
      <c r="B311" s="2358"/>
      <c r="C311" s="2358"/>
      <c r="D311" s="2358"/>
      <c r="E311" s="2359" t="s">
        <v>4315</v>
      </c>
      <c r="F311" s="2351"/>
      <c r="G311" s="2351"/>
      <c r="H311" s="2372">
        <f>'Part II-Development Team'!H108</f>
        <v>4048988244</v>
      </c>
      <c r="I311" s="2372">
        <f>'Part II-Development Team'!I108</f>
        <v>0</v>
      </c>
      <c r="J311" s="2376">
        <f>'Part II-Development Team'!J108</f>
        <v>0</v>
      </c>
      <c r="K311" s="2356" t="s">
        <v>2000</v>
      </c>
      <c r="L311" s="2367" t="str">
        <f>'Part II-Development Team'!L108</f>
        <v>frank.gudger@aprio.com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Martin Riley Associates - Architect, P.C.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Mike Riley</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215 Church Street, Suite 200</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Partner</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Decatur</v>
      </c>
      <c r="I315" s="2351">
        <f>'Part II-Development Team'!I112</f>
        <v>0</v>
      </c>
      <c r="J315" s="2351">
        <f>'Part II-Development Team'!J112</f>
        <v>0</v>
      </c>
      <c r="K315" s="2356" t="s">
        <v>2723</v>
      </c>
      <c r="L315" s="2351" t="str">
        <f>'Part II-Development Team'!L112</f>
        <v>www.martinriley.com</v>
      </c>
      <c r="M315" s="2351">
        <f>'Part II-Development Team'!M112</f>
        <v>0</v>
      </c>
      <c r="N315" s="2351">
        <f>'Part II-Development Team'!N112</f>
        <v>0</v>
      </c>
      <c r="O315" s="2359" t="s">
        <v>1734</v>
      </c>
      <c r="P315" s="2351"/>
      <c r="Q315" s="2372">
        <f>'Part II-Development Team'!Q112</f>
        <v>4043752800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300303330</v>
      </c>
      <c r="M316" s="2371">
        <f>'Part II-Development Team'!M113</f>
        <v>0</v>
      </c>
      <c r="N316" s="2351"/>
      <c r="O316" s="2359" t="s">
        <v>1995</v>
      </c>
      <c r="P316" s="2351"/>
      <c r="Q316" s="2372">
        <f>'Part II-Development Team'!Q113</f>
        <v>4042903390</v>
      </c>
      <c r="R316" s="2372">
        <f>'Part II-Development Team'!R113</f>
        <v>0</v>
      </c>
      <c r="S316" s="2372">
        <f>'Part II-Development Team'!S113</f>
        <v>0</v>
      </c>
    </row>
    <row r="317" spans="1:19">
      <c r="A317" s="2351"/>
      <c r="B317" s="2351"/>
      <c r="C317" s="2351"/>
      <c r="D317" s="2424"/>
      <c r="E317" s="2359" t="s">
        <v>4315</v>
      </c>
      <c r="F317" s="2351"/>
      <c r="G317" s="2351"/>
      <c r="H317" s="2372">
        <f>'Part II-Development Team'!H114</f>
        <v>4043732800</v>
      </c>
      <c r="I317" s="2372">
        <f>'Part II-Development Team'!I114</f>
        <v>0</v>
      </c>
      <c r="J317" s="2376">
        <f>'Part II-Development Team'!J114</f>
        <v>0</v>
      </c>
      <c r="K317" s="2356" t="s">
        <v>2000</v>
      </c>
      <c r="L317" s="2367" t="str">
        <f>'Part II-Development Team'!L114</f>
        <v>mriley@martinriley.com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4755</v>
      </c>
      <c r="D320" s="2351"/>
      <c r="E320" s="2351"/>
      <c r="F320" s="2351"/>
      <c r="G320" s="2351"/>
      <c r="H320" s="2351">
        <f>'Part II-Development Team'!H117</f>
        <v>0</v>
      </c>
      <c r="I320" s="2351">
        <f>'Part II-Development Team'!I117</f>
        <v>0</v>
      </c>
      <c r="J320" s="2351">
        <f>'Part II-Development Team'!J117</f>
        <v>0</v>
      </c>
      <c r="K320" s="2356" t="s">
        <v>2490</v>
      </c>
      <c r="L320" s="2351">
        <f>'Part II-Development Team'!L117</f>
        <v>0</v>
      </c>
      <c r="M320" s="2351">
        <f>'Part II-Development Team'!M117</f>
        <v>0</v>
      </c>
      <c r="N320" s="2351">
        <f>'Part II-Development Team'!N117</f>
        <v>0</v>
      </c>
      <c r="O320" s="2359" t="s">
        <v>3603</v>
      </c>
      <c r="P320" s="2351"/>
      <c r="Q320" s="2351">
        <f>'Part II-Development Team'!Q117</f>
        <v>0</v>
      </c>
      <c r="R320" s="2351">
        <f>'Part II-Development Team'!R117</f>
        <v>0</v>
      </c>
      <c r="S320" s="2351">
        <f>'Part II-Development Team'!S117</f>
        <v>0</v>
      </c>
    </row>
    <row r="321" spans="1:19">
      <c r="A321" s="2351"/>
      <c r="B321" s="2351"/>
      <c r="C321" s="2351"/>
      <c r="D321" s="2424"/>
      <c r="E321" s="2359" t="s">
        <v>1031</v>
      </c>
      <c r="F321" s="2362"/>
      <c r="G321" s="2351"/>
      <c r="H321" s="2351">
        <f>'Part II-Development Team'!H118</f>
        <v>0</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f>'Part II-Development Team'!Q118</f>
        <v>0</v>
      </c>
      <c r="R321" s="2351">
        <f>'Part II-Development Team'!R118</f>
        <v>0</v>
      </c>
      <c r="S321" s="2351">
        <f>'Part II-Development Team'!S118</f>
        <v>0</v>
      </c>
    </row>
    <row r="322" spans="1:19">
      <c r="A322" s="2351"/>
      <c r="B322" s="2351"/>
      <c r="C322" s="2351"/>
      <c r="D322" s="2424"/>
      <c r="E322" s="2359" t="s">
        <v>1812</v>
      </c>
      <c r="F322" s="2351"/>
      <c r="G322" s="2351"/>
      <c r="H322" s="2359">
        <f>'Part II-Development Team'!H119</f>
        <v>0</v>
      </c>
      <c r="I322" s="2356" t="s">
        <v>2245</v>
      </c>
      <c r="J322" s="2371">
        <f>'Part II-Development Team'!J119</f>
        <v>0</v>
      </c>
      <c r="K322" s="2371">
        <f>'Part II-Development Team'!K119</f>
        <v>0</v>
      </c>
      <c r="L322" s="2356" t="s">
        <v>2000</v>
      </c>
      <c r="M322" s="2367">
        <f>'Part II-Development Team'!M119</f>
        <v>0</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2854</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3911</v>
      </c>
      <c r="B324" s="2430"/>
      <c r="C324" s="2430"/>
      <c r="D324" s="2430"/>
      <c r="E324" s="2430"/>
      <c r="F324" s="2376" t="s">
        <v>2527</v>
      </c>
      <c r="G324" s="2365" t="s">
        <v>3502</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2855</v>
      </c>
      <c r="E325" s="2347"/>
      <c r="F325" s="2432" t="str">
        <f>'Part II-Development Team'!F122</f>
        <v>Yes</v>
      </c>
      <c r="G325" s="2433" t="str">
        <f>'Part II-Development Team'!G122</f>
        <v>William J. Rea, Jr. owns a 45% interest in the Contractor (Great Southern, LLC) and 58% of the principal Developer (Rea Ventures Group, LLC).</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2921</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2897</v>
      </c>
      <c r="E327" s="2347"/>
      <c r="F327" s="2432" t="str">
        <f>'Part II-Development Team'!F124</f>
        <v>Yes</v>
      </c>
      <c r="G327" s="2433" t="str">
        <f>'Part II-Development Team'!G124</f>
        <v>William J. Rea, Jr. owns a 45% interest in the Contractor (Great Southern, LLC) and 58% of the General Partner's uppier tier managing entity (Rea GP Holdings Group II, LLC).</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2856</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3489</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3490</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2857</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f>'Part II-Development Team'!F129</f>
        <v>0</v>
      </c>
      <c r="G332" s="2433">
        <f>'Part II-Development Team'!G129</f>
        <v>0</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4756</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2858</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3470</v>
      </c>
      <c r="F336" s="2347"/>
      <c r="G336" s="2347"/>
      <c r="H336" s="2347"/>
      <c r="I336" s="2347"/>
      <c r="J336" s="2347" t="s">
        <v>3471</v>
      </c>
      <c r="K336" s="2434" t="s">
        <v>4757</v>
      </c>
      <c r="L336" s="2434" t="s">
        <v>4758</v>
      </c>
      <c r="M336" s="2434" t="s">
        <v>4759</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4760</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2927</v>
      </c>
      <c r="O340" s="2382"/>
      <c r="P340" s="2382"/>
      <c r="Q340" s="2382"/>
      <c r="R340" s="2382"/>
      <c r="S340" s="2382"/>
    </row>
    <row r="341" spans="1:19" ht="13.5" customHeight="1">
      <c r="A341" s="2423" t="s">
        <v>3465</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3466</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3467</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3468</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0.99980000000000002</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3469</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1E-4</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2914</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13.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t="str">
        <f>'Part II-Development Team'!L144</f>
        <v>NA</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2915</v>
      </c>
      <c r="B348" s="2423"/>
      <c r="C348" s="2423"/>
      <c r="D348" s="2423"/>
      <c r="E348" s="2433">
        <f>'Part II-Development Team'!E145</f>
        <v>0</v>
      </c>
      <c r="F348" s="2433">
        <f>'Part II-Development Team'!F145</f>
        <v>0</v>
      </c>
      <c r="G348" s="2433">
        <f>'Part II-Development Team'!G145</f>
        <v>0</v>
      </c>
      <c r="H348" s="2433">
        <f>'Part II-Development Team'!H145</f>
        <v>0</v>
      </c>
      <c r="I348" s="2432" t="str">
        <f>'Part II-Development Team'!I145</f>
        <v>No</v>
      </c>
      <c r="J348" s="2432" t="str">
        <f>'Part II-Development Team'!J145</f>
        <v>No</v>
      </c>
      <c r="K348" s="2437" t="str">
        <f>'Part II-Development Team'!K145</f>
        <v>For Profit</v>
      </c>
      <c r="L348" s="2438" t="str">
        <f>'Part II-Development Team'!L145</f>
        <v>NA</v>
      </c>
      <c r="M348" s="2432" t="str">
        <f>'Part II-Development Team'!M145</f>
        <v>No</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2916</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2918</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2917</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f>'Part II-Development Team'!I149</f>
        <v>0</v>
      </c>
      <c r="J352" s="2432">
        <f>'Part II-Development Team'!J149</f>
        <v>0</v>
      </c>
      <c r="K352" s="2437">
        <f>'Part II-Development Team'!K149</f>
        <v>0</v>
      </c>
      <c r="L352" s="2438">
        <f>'Part II-Development Team'!L149</f>
        <v>0</v>
      </c>
      <c r="M352" s="2432">
        <f>'Part II-Development Team'!M149</f>
        <v>0</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2919</v>
      </c>
      <c r="B353" s="2423"/>
      <c r="C353" s="2423"/>
      <c r="D353" s="2423"/>
      <c r="E353" s="2433">
        <f>'Part II-Development Team'!E150</f>
        <v>0</v>
      </c>
      <c r="F353" s="2433">
        <f>'Part II-Development Team'!F150</f>
        <v>0</v>
      </c>
      <c r="G353" s="2433">
        <f>'Part II-Development Team'!G150</f>
        <v>0</v>
      </c>
      <c r="H353" s="2433">
        <f>'Part II-Development Team'!H150</f>
        <v>0</v>
      </c>
      <c r="I353" s="2432">
        <f>'Part II-Development Team'!I150</f>
        <v>0</v>
      </c>
      <c r="J353" s="2432">
        <f>'Part II-Development Team'!J150</f>
        <v>0</v>
      </c>
      <c r="K353" s="2437">
        <f>'Part II-Development Team'!K150</f>
        <v>0</v>
      </c>
      <c r="L353" s="2438">
        <f>'Part II-Development Team'!L150</f>
        <v>0</v>
      </c>
      <c r="M353" s="2432">
        <f>'Part II-Development Team'!M150</f>
        <v>0</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All development team members are experienced in multifamily LIHTC housing.  Project team was deemed "Qualified" by DCA on April 30, 2018 for PA18-069 Abbington on Englewood.  The same development team as was proposed in Abbington on Englewood will comprise the development team for Abbington on Cheshire Bridge.  There have been no changes to the organizational structure since DCA's qualification determination.</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2018-046 Abbington on Cheshire Bridge, Atlanta, Fulton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3918</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2618</v>
      </c>
      <c r="N369" s="2363"/>
      <c r="O369" s="2363"/>
      <c r="P369" s="2363"/>
      <c r="Q369" s="2363"/>
    </row>
    <row r="370" spans="1:17" ht="13.5">
      <c r="A370" s="2351"/>
      <c r="B370" s="2356" t="str">
        <f>'Part III-Sources of Funds'!B7</f>
        <v>No</v>
      </c>
      <c r="C370" s="2359" t="s">
        <v>3915</v>
      </c>
      <c r="D370" s="2363"/>
      <c r="E370" s="2363"/>
      <c r="F370" s="2409">
        <f>'Part III-Sources of Funds'!F7</f>
        <v>0</v>
      </c>
      <c r="G370" s="2409">
        <f>'Part III-Sources of Funds'!G7</f>
        <v>0</v>
      </c>
      <c r="H370" s="2356" t="str">
        <f>'Part III-Sources of Funds'!H7</f>
        <v>No</v>
      </c>
      <c r="I370" s="2359" t="s">
        <v>3706</v>
      </c>
      <c r="J370" s="2363"/>
      <c r="K370" s="2363"/>
      <c r="L370" s="2356" t="str">
        <f>'Part III-Sources of Funds'!L7</f>
        <v>No</v>
      </c>
      <c r="M370" s="2359" t="s">
        <v>2619</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2627</v>
      </c>
      <c r="J371" s="2363"/>
      <c r="K371" s="2363"/>
      <c r="L371" s="2356" t="str">
        <f>'Part III-Sources of Funds'!L8</f>
        <v>No</v>
      </c>
      <c r="M371" s="2359" t="s">
        <v>3711</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2625</v>
      </c>
      <c r="J372" s="2363"/>
      <c r="K372" s="2363"/>
      <c r="L372" s="2356" t="str">
        <f>'Part III-Sources of Funds'!L9</f>
        <v>No</v>
      </c>
      <c r="M372" s="2359" t="s">
        <v>2626</v>
      </c>
      <c r="N372" s="2363"/>
      <c r="O372" s="2363"/>
      <c r="P372" s="2363"/>
      <c r="Q372" s="2363"/>
    </row>
    <row r="373" spans="1:17" ht="13.5">
      <c r="A373" s="2349"/>
      <c r="B373" s="2356" t="str">
        <f>'Part III-Sources of Funds'!B10</f>
        <v>No</v>
      </c>
      <c r="C373" s="2359" t="s">
        <v>3916</v>
      </c>
      <c r="D373" s="2363"/>
      <c r="E373" s="2363"/>
      <c r="F373" s="2363"/>
      <c r="G373" s="2440"/>
      <c r="H373" s="2356" t="str">
        <f>'Part III-Sources of Funds'!H10</f>
        <v>No</v>
      </c>
      <c r="I373" s="2351" t="s">
        <v>3745</v>
      </c>
      <c r="J373" s="2347"/>
      <c r="K373" s="2347"/>
      <c r="L373" s="2356" t="str">
        <f>'Part III-Sources of Funds'!L10</f>
        <v>No</v>
      </c>
      <c r="M373" s="2359" t="s">
        <v>3747</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4761</v>
      </c>
      <c r="D374" s="2351"/>
      <c r="E374" s="2441">
        <f>'Part III-Sources of Funds'!E11</f>
        <v>0</v>
      </c>
      <c r="F374" s="2442">
        <f>'Part III-Sources of Funds'!F11</f>
        <v>0</v>
      </c>
      <c r="G374" s="2363"/>
      <c r="H374" s="2356" t="str">
        <f>'Part III-Sources of Funds'!H11</f>
        <v>No</v>
      </c>
      <c r="I374" s="2351" t="s">
        <v>3750</v>
      </c>
      <c r="J374" s="2363"/>
      <c r="K374" s="2363"/>
      <c r="L374" s="2356" t="str">
        <f>'Part III-Sources of Funds'!L11</f>
        <v>No</v>
      </c>
      <c r="M374" s="2351" t="s">
        <v>3645</v>
      </c>
      <c r="N374" s="2363"/>
      <c r="O374" s="2363"/>
      <c r="P374" s="2363"/>
      <c r="Q374" s="2363"/>
    </row>
    <row r="375" spans="1:17" ht="13.5">
      <c r="A375" s="2349"/>
      <c r="B375" s="2356" t="str">
        <f>'Part III-Sources of Funds'!B12</f>
        <v>No</v>
      </c>
      <c r="C375" s="2359" t="s">
        <v>4762</v>
      </c>
      <c r="D375" s="2363"/>
      <c r="E375" s="2441">
        <f>'Part III-Sources of Funds'!E12</f>
        <v>0</v>
      </c>
      <c r="F375" s="2442">
        <f>'Part III-Sources of Funds'!F12</f>
        <v>0</v>
      </c>
      <c r="G375" s="2363"/>
      <c r="H375" s="2356" t="str">
        <f>'Part III-Sources of Funds'!H12</f>
        <v>No</v>
      </c>
      <c r="I375" s="2413" t="s">
        <v>2815</v>
      </c>
      <c r="J375" s="2413"/>
      <c r="K375" s="2413"/>
      <c r="L375" s="2356" t="str">
        <f>'Part III-Sources of Funds'!L12</f>
        <v>Yes</v>
      </c>
      <c r="M375" s="2363" t="str">
        <f>'Part III-Sources of Funds'!M12</f>
        <v>InvestAtlanta - Housing Opportunity Bonds loan</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3746</v>
      </c>
      <c r="D376" s="2363"/>
      <c r="E376" s="2363" t="str">
        <f>'Part III-Sources of Funds'!E13</f>
        <v>Specify Other HOME Source here</v>
      </c>
      <c r="F376" s="2363">
        <f>'Part III-Sources of Funds'!F13</f>
        <v>0</v>
      </c>
      <c r="G376" s="2363">
        <f>'Part III-Sources of Funds'!G13</f>
        <v>0</v>
      </c>
      <c r="H376" s="2356" t="str">
        <f>'Part III-Sources of Funds'!H13</f>
        <v>No</v>
      </c>
      <c r="I376" s="2359" t="s">
        <v>3917</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3712</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ht="38.25">
      <c r="A382" s="2351"/>
      <c r="B382" s="2351" t="s">
        <v>1603</v>
      </c>
      <c r="C382" s="2351"/>
      <c r="D382" s="2351"/>
      <c r="E382" s="2351"/>
      <c r="F382" s="2351"/>
      <c r="G382" s="2351"/>
      <c r="H382" s="2430" t="str">
        <f>'Part III-Sources of Funds'!H19</f>
        <v>Conventional Construction Loan - SunTrust</v>
      </c>
      <c r="I382" s="2430">
        <f>'Part III-Sources of Funds'!I19</f>
        <v>0</v>
      </c>
      <c r="J382" s="2430">
        <f>'Part III-Sources of Funds'!J19</f>
        <v>0</v>
      </c>
      <c r="K382" s="2430">
        <f>'Part III-Sources of Funds'!K19</f>
        <v>0</v>
      </c>
      <c r="L382" s="2366">
        <f>'Part III-Sources of Funds'!L19</f>
        <v>5148953</v>
      </c>
      <c r="M382" s="2366">
        <f>'Part III-Sources of Funds'!M19</f>
        <v>0</v>
      </c>
      <c r="N382" s="2443">
        <f>'Part III-Sources of Funds'!N19</f>
        <v>4.6587499999999997E-2</v>
      </c>
      <c r="O382" s="2443">
        <f>'Part III-Sources of Funds'!O19</f>
        <v>0</v>
      </c>
      <c r="P382" s="2444">
        <f>'Part III-Sources of Funds'!P19</f>
        <v>24</v>
      </c>
      <c r="Q382" s="2444">
        <f>'Part III-Sources of Funds'!Q19</f>
        <v>0</v>
      </c>
    </row>
    <row r="383" spans="1:17" ht="51">
      <c r="A383" s="2351"/>
      <c r="B383" s="2351" t="s">
        <v>1604</v>
      </c>
      <c r="C383" s="2351"/>
      <c r="D383" s="2351"/>
      <c r="E383" s="2351"/>
      <c r="F383" s="2351"/>
      <c r="G383" s="2351"/>
      <c r="H383" s="2430" t="str">
        <f>'Part III-Sources of Funds'!H20</f>
        <v>Invest Atlanta - Housing Opportunity Bonds Loan</v>
      </c>
      <c r="I383" s="2430">
        <f>'Part III-Sources of Funds'!I20</f>
        <v>0</v>
      </c>
      <c r="J383" s="2430">
        <f>'Part III-Sources of Funds'!J20</f>
        <v>0</v>
      </c>
      <c r="K383" s="2430">
        <f>'Part III-Sources of Funds'!K20</f>
        <v>0</v>
      </c>
      <c r="L383" s="2366">
        <f>'Part III-Sources of Funds'!L20</f>
        <v>1200000</v>
      </c>
      <c r="M383" s="2366">
        <f>'Part III-Sources of Funds'!M20</f>
        <v>0</v>
      </c>
      <c r="N383" s="2443">
        <f>'Part III-Sources of Funds'!N20</f>
        <v>0.02</v>
      </c>
      <c r="O383" s="2443">
        <f>'Part III-Sources of Funds'!O20</f>
        <v>0</v>
      </c>
      <c r="P383" s="2444">
        <f>'Part III-Sources of Funds'!P20</f>
        <v>24</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38.25">
      <c r="A388" s="2351"/>
      <c r="B388" s="2351" t="s">
        <v>810</v>
      </c>
      <c r="C388" s="2351"/>
      <c r="D388" s="2351"/>
      <c r="E388" s="2351"/>
      <c r="F388" s="2363"/>
      <c r="G388" s="2363"/>
      <c r="H388" s="2430" t="str">
        <f>'Part III-Sources of Funds'!H25</f>
        <v>SunTrust Community Capital, LLC</v>
      </c>
      <c r="I388" s="2430">
        <f>'Part III-Sources of Funds'!I25</f>
        <v>0</v>
      </c>
      <c r="J388" s="2430">
        <f>'Part III-Sources of Funds'!J25</f>
        <v>0</v>
      </c>
      <c r="K388" s="2430">
        <f>'Part III-Sources of Funds'!K25</f>
        <v>0</v>
      </c>
      <c r="L388" s="2366">
        <f>'Part III-Sources of Funds'!L25</f>
        <v>2427357</v>
      </c>
      <c r="M388" s="2366">
        <f>'Part III-Sources of Funds'!M25</f>
        <v>0</v>
      </c>
      <c r="N388" s="2351"/>
      <c r="O388" s="2351"/>
      <c r="P388" s="2351"/>
      <c r="Q388" s="2351"/>
    </row>
    <row r="389" spans="1:17" ht="38.25">
      <c r="A389" s="2351"/>
      <c r="B389" s="2351" t="s">
        <v>811</v>
      </c>
      <c r="C389" s="2351"/>
      <c r="D389" s="2351"/>
      <c r="E389" s="2351"/>
      <c r="F389" s="2363"/>
      <c r="G389" s="2363"/>
      <c r="H389" s="2430" t="str">
        <f>'Part III-Sources of Funds'!H26</f>
        <v>SunTrust Community Capital, LLC</v>
      </c>
      <c r="I389" s="2430">
        <f>'Part III-Sources of Funds'!I26</f>
        <v>0</v>
      </c>
      <c r="J389" s="2430">
        <f>'Part III-Sources of Funds'!J26</f>
        <v>0</v>
      </c>
      <c r="K389" s="2430">
        <f>'Part III-Sources of Funds'!K26</f>
        <v>0</v>
      </c>
      <c r="L389" s="2366">
        <f>'Part III-Sources of Funds'!L26</f>
        <v>1513528</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10289838</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10289838</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ht="51">
      <c r="A400" s="2351"/>
      <c r="B400" s="2351" t="s">
        <v>2631</v>
      </c>
      <c r="C400" s="2351"/>
      <c r="D400" s="2351"/>
      <c r="E400" s="2430" t="str">
        <f>'Part III-Sources of Funds'!E37</f>
        <v>Conventional Permanent Loan - SunTrust</v>
      </c>
      <c r="F400" s="2430">
        <f>'Part III-Sources of Funds'!F37</f>
        <v>0</v>
      </c>
      <c r="G400" s="2430">
        <f>'Part III-Sources of Funds'!G37</f>
        <v>0</v>
      </c>
      <c r="H400" s="2430">
        <f>'Part III-Sources of Funds'!H37</f>
        <v>0</v>
      </c>
      <c r="I400" s="2387">
        <f>'Part III-Sources of Funds'!I37</f>
        <v>800000</v>
      </c>
      <c r="J400" s="2351">
        <f>'Part III-Sources of Funds'!J37</f>
        <v>0</v>
      </c>
      <c r="K400" s="2448">
        <f>'Part III-Sources of Funds'!K37</f>
        <v>6.25E-2</v>
      </c>
      <c r="L400" s="2356">
        <f>'Part III-Sources of Funds'!L37</f>
        <v>17</v>
      </c>
      <c r="M400" s="2356">
        <f>'Part III-Sources of Funds'!M37</f>
        <v>30</v>
      </c>
      <c r="N400" s="2449">
        <f>'Part III-Sources of Funds'!N37</f>
        <v>59108.851240933596</v>
      </c>
      <c r="O400" s="2449">
        <f>'Part III-Sources of Funds'!O37</f>
        <v>0</v>
      </c>
      <c r="P400" s="2351" t="str">
        <f>'Part III-Sources of Funds'!P37</f>
        <v>Amortizing</v>
      </c>
      <c r="Q400" s="2351">
        <f>'Part III-Sources of Funds'!Q37</f>
        <v>0</v>
      </c>
    </row>
    <row r="401" spans="1:17" ht="51">
      <c r="A401" s="2351"/>
      <c r="B401" s="2351" t="s">
        <v>2632</v>
      </c>
      <c r="C401" s="2351"/>
      <c r="D401" s="2351"/>
      <c r="E401" s="2430" t="str">
        <f>'Part III-Sources of Funds'!E38</f>
        <v>Invest Atlanta - Housing Opportunity Bonds Loan</v>
      </c>
      <c r="F401" s="2430">
        <f>'Part III-Sources of Funds'!F38</f>
        <v>0</v>
      </c>
      <c r="G401" s="2430">
        <f>'Part III-Sources of Funds'!G38</f>
        <v>0</v>
      </c>
      <c r="H401" s="2430">
        <f>'Part III-Sources of Funds'!H38</f>
        <v>0</v>
      </c>
      <c r="I401" s="2387">
        <f>'Part III-Sources of Funds'!I38</f>
        <v>1200000</v>
      </c>
      <c r="J401" s="2351">
        <f>'Part III-Sources of Funds'!J38</f>
        <v>0</v>
      </c>
      <c r="K401" s="2448">
        <f>'Part III-Sources of Funds'!K38</f>
        <v>0.02</v>
      </c>
      <c r="L401" s="2356">
        <f>'Part III-Sources of Funds'!L38</f>
        <v>30</v>
      </c>
      <c r="M401" s="2356">
        <f>'Part III-Sources of Funds'!M38</f>
        <v>30</v>
      </c>
      <c r="N401" s="2449">
        <f>'Part III-Sources of Funds'!N38</f>
        <v>53225.204067190156</v>
      </c>
      <c r="O401" s="2449">
        <f>'Part III-Sources of Funds'!O38</f>
        <v>0</v>
      </c>
      <c r="P401" s="2351" t="str">
        <f>'Part III-Sources of Funds'!P38</f>
        <v>Amortizing</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2768</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51">
      <c r="A405" s="2351"/>
      <c r="B405" s="2351" t="s">
        <v>230</v>
      </c>
      <c r="C405" s="2351"/>
      <c r="D405" s="2450">
        <f>'Part III-Sources of Funds'!D42</f>
        <v>5.461138211382114E-2</v>
      </c>
      <c r="E405" s="2430" t="str">
        <f>'Part III-Sources of Funds'!E42</f>
        <v>Rea Ventures Group / Brady Development</v>
      </c>
      <c r="F405" s="2430">
        <f>'Part III-Sources of Funds'!F42</f>
        <v>0</v>
      </c>
      <c r="G405" s="2430">
        <f>'Part III-Sources of Funds'!G42</f>
        <v>0</v>
      </c>
      <c r="H405" s="2430">
        <f>'Part III-Sources of Funds'!H42</f>
        <v>0</v>
      </c>
      <c r="I405" s="2387">
        <f>'Part III-Sources of Funds'!I42</f>
        <v>67172</v>
      </c>
      <c r="J405" s="2351">
        <f>'Part III-Sources of Funds'!J42</f>
        <v>0</v>
      </c>
      <c r="K405" s="2448">
        <f>'Part III-Sources of Funds'!K42</f>
        <v>0</v>
      </c>
      <c r="L405" s="2356">
        <f>'Part III-Sources of Funds'!L42</f>
        <v>0</v>
      </c>
      <c r="M405" s="2356">
        <f>'Part III-Sources of Funds'!M42</f>
        <v>0</v>
      </c>
      <c r="N405" s="2449">
        <f>'Part III-Sources of Funds'!N42</f>
        <v>0</v>
      </c>
      <c r="O405" s="2449">
        <f>'Part III-Sources of Funds'!O42</f>
        <v>0</v>
      </c>
      <c r="P405" s="2351">
        <f>'Part III-Sources of Funds'!P42</f>
        <v>0</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4236</v>
      </c>
      <c r="C407" s="2351"/>
      <c r="D407" s="2363"/>
      <c r="E407" s="2363" t="s">
        <v>4130</v>
      </c>
      <c r="F407" s="2454" t="e">
        <f>'Part III-Sources of Funds'!F44</f>
        <v>#N/A</v>
      </c>
      <c r="G407" s="2363"/>
      <c r="H407" s="2440" t="s">
        <v>4235</v>
      </c>
      <c r="I407" s="2454" t="e">
        <f>'Part III-Sources of Funds'!I44</f>
        <v>#N/A</v>
      </c>
      <c r="J407" s="2363"/>
      <c r="K407" s="2448"/>
      <c r="L407" s="2356"/>
      <c r="M407" s="2356"/>
      <c r="N407" s="2453"/>
      <c r="O407" s="2453"/>
      <c r="P407" s="2356"/>
      <c r="Q407" s="2356"/>
    </row>
    <row r="408" spans="1:17" ht="13.5">
      <c r="A408" s="2351"/>
      <c r="B408" s="2363" t="s">
        <v>4763</v>
      </c>
      <c r="C408" s="2351"/>
      <c r="D408" s="2450"/>
      <c r="E408" s="2363"/>
      <c r="F408" s="2455">
        <f>'Part III-Sources of Funds'!F45</f>
        <v>1</v>
      </c>
      <c r="G408" s="2455">
        <f>'Part III-Sources of Funds'!G45</f>
        <v>0</v>
      </c>
      <c r="H408" s="2440" t="s">
        <v>4237</v>
      </c>
      <c r="I408" s="2455" t="e">
        <f>'Part III-Sources of Funds'!I45</f>
        <v>#N/A</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SunTrust Community Capital, LLC</v>
      </c>
      <c r="F412" s="2430">
        <f>'Part III-Sources of Funds'!F49</f>
        <v>0</v>
      </c>
      <c r="G412" s="2430">
        <f>'Part III-Sources of Funds'!G49</f>
        <v>0</v>
      </c>
      <c r="H412" s="2430">
        <f>'Part III-Sources of Funds'!H49</f>
        <v>0</v>
      </c>
      <c r="I412" s="2387">
        <f>'Part III-Sources of Funds'!I49</f>
        <v>6068393</v>
      </c>
      <c r="J412" s="2351">
        <f>'Part III-Sources of Funds'!J49</f>
        <v>0</v>
      </c>
      <c r="K412" s="2363"/>
      <c r="L412" s="2458">
        <f>'Part IV-A-Uses of Funds'!$J$175*10*'Part IV-A-Uses of Funds'!$N$168</f>
        <v>6069000</v>
      </c>
      <c r="M412" s="2458"/>
      <c r="N412" s="2459">
        <f>I412-L412</f>
        <v>-607</v>
      </c>
      <c r="O412" s="2459"/>
      <c r="P412" s="2460" t="s">
        <v>2577</v>
      </c>
      <c r="Q412" s="2351"/>
    </row>
    <row r="413" spans="1:17" ht="38.25">
      <c r="A413" s="2351"/>
      <c r="B413" s="2351" t="s">
        <v>811</v>
      </c>
      <c r="C413" s="2351"/>
      <c r="D413" s="2351"/>
      <c r="E413" s="2430" t="str">
        <f>'Part III-Sources of Funds'!E50</f>
        <v>SunTrust Community Capital, LLC</v>
      </c>
      <c r="F413" s="2430">
        <f>'Part III-Sources of Funds'!F50</f>
        <v>0</v>
      </c>
      <c r="G413" s="2430">
        <f>'Part III-Sources of Funds'!G50</f>
        <v>0</v>
      </c>
      <c r="H413" s="2430">
        <f>'Part III-Sources of Funds'!H50</f>
        <v>0</v>
      </c>
      <c r="I413" s="2387">
        <f>'Part III-Sources of Funds'!I50</f>
        <v>3783822</v>
      </c>
      <c r="J413" s="2351">
        <f>'Part III-Sources of Funds'!J50</f>
        <v>0</v>
      </c>
      <c r="K413" s="2363"/>
      <c r="L413" s="2458">
        <f>'Part IV-A-Uses of Funds'!$J$175*10*'Part IV-A-Uses of Funds'!$Q$168</f>
        <v>3784200</v>
      </c>
      <c r="M413" s="2458"/>
      <c r="N413" s="2459">
        <f>I413-L413</f>
        <v>-378</v>
      </c>
      <c r="O413" s="2459"/>
      <c r="P413" s="2461">
        <f>I412/I422</f>
        <v>0.5091195545542736</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0.3174510568370672</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0.8265706113913408</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11919387</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11919387</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3491</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Construction loan interest rate is set at 2.75% over One Month LIBOR (currently 1.90875% on 5/1/18) for a total rate of 4.65875%.  
Permanent loan interest rate is set at 6.25% interest rate fixed.  Housing Opportunity Bond unrestricted loan provided by Invest Atlanta is 2nd position debt subordinate to SunTrust primary lien position loan.  Housing Opportunity Bond unrestricted loan is for construction and permanent financing phases, has a term longer than 10 years, is below AFR (2.90% as of May 1, 2018), and is greater than 10% of the Total Development Cost.  As a result the Housing Opportunity Bond unrestricted loan qualifies for 3 points for Favorable Financing.
Total unrestricted permanent financing of $2,000,000 (SunTrust $800,000 and Invest Atlanta $1,200,000) is equal to 16.779% of the total development budget, which exceeds the market rate unit percentage of 16.667% of total units.  Mixed Income communities are a requirement of the Housing Opportunity Bond Loan.</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2018-046 Abbington on Cheshire Bridge,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2018-046 Abbington on Cheshire Bridge,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7500</v>
      </c>
      <c r="H444" s="2366">
        <f>'Part IV-A-Uses of Funds'!H8</f>
        <v>0</v>
      </c>
      <c r="I444" s="2351"/>
      <c r="J444" s="2366">
        <f>'Part IV-A-Uses of Funds'!J8</f>
        <v>7500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9500</v>
      </c>
      <c r="H445" s="2366">
        <f>'Part IV-A-Uses of Funds'!H9</f>
        <v>0</v>
      </c>
      <c r="I445" s="2351"/>
      <c r="J445" s="2366">
        <f>'Part IV-A-Uses of Funds'!J9</f>
        <v>9500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20000</v>
      </c>
      <c r="H446" s="2366">
        <f>'Part IV-A-Uses of Funds'!H10</f>
        <v>0</v>
      </c>
      <c r="I446" s="2351"/>
      <c r="J446" s="2366">
        <f>'Part IV-A-Uses of Funds'!J10</f>
        <v>20000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16500</v>
      </c>
      <c r="H447" s="2366">
        <f>'Part IV-A-Uses of Funds'!H11</f>
        <v>0</v>
      </c>
      <c r="I447" s="2351"/>
      <c r="J447" s="2366">
        <f>'Part IV-A-Uses of Funds'!J11</f>
        <v>16500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12000</v>
      </c>
      <c r="H448" s="2366">
        <f>'Part IV-A-Uses of Funds'!H12</f>
        <v>0</v>
      </c>
      <c r="I448" s="2351"/>
      <c r="J448" s="2366">
        <f>'Part IV-A-Uses of Funds'!J12</f>
        <v>12000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750</v>
      </c>
      <c r="H449" s="2366">
        <f>'Part IV-A-Uses of Funds'!H13</f>
        <v>0</v>
      </c>
      <c r="I449" s="2351"/>
      <c r="J449" s="2366">
        <f>'Part IV-A-Uses of Funds'!J13</f>
        <v>750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66250</v>
      </c>
      <c r="H453" s="2366"/>
      <c r="I453" s="2351"/>
      <c r="J453" s="2366">
        <f>SUM(J444:K452)</f>
        <v>66250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1850000</v>
      </c>
      <c r="H455" s="2366">
        <f>'Part IV-A-Uses of Funds'!H19</f>
        <v>0</v>
      </c>
      <c r="I455" s="2351"/>
      <c r="J455" s="2381"/>
      <c r="K455" s="2366"/>
      <c r="L455" s="2381"/>
      <c r="M455" s="2381"/>
      <c r="N455" s="2366"/>
      <c r="O455" s="2351"/>
      <c r="P455" s="2381"/>
      <c r="Q455" s="2366"/>
      <c r="R455" s="2351"/>
      <c r="S455" s="2366">
        <f>'Part IV-A-Uses of Funds'!S19</f>
        <v>1850000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1850000</v>
      </c>
      <c r="H459" s="2366"/>
      <c r="I459" s="2351"/>
      <c r="J459" s="2381"/>
      <c r="K459" s="2366"/>
      <c r="L459" s="2381"/>
      <c r="M459" s="2366">
        <f>SUM(M457:N458)</f>
        <v>0</v>
      </c>
      <c r="N459" s="2366"/>
      <c r="O459" s="2351"/>
      <c r="P459" s="2381"/>
      <c r="Q459" s="2366"/>
      <c r="R459" s="2351"/>
      <c r="S459" s="2366">
        <f>SUM(S455:T458)</f>
        <v>1850000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3753</v>
      </c>
      <c r="F461" s="2417">
        <f>IF('Part I-Project Information'!$O$37="","",G461/'Part I-Project Information'!$O$37)</f>
        <v>670391.06145251391</v>
      </c>
      <c r="G461" s="2366">
        <f>'Part IV-A-Uses of Funds'!G25</f>
        <v>1200000</v>
      </c>
      <c r="H461" s="2366">
        <f>'Part IV-A-Uses of Funds'!H25</f>
        <v>0</v>
      </c>
      <c r="I461" s="2351"/>
      <c r="J461" s="2366">
        <f>'Part IV-A-Uses of Funds'!J25</f>
        <v>1200000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1200000</v>
      </c>
      <c r="H463" s="2366"/>
      <c r="I463" s="2351"/>
      <c r="J463" s="2366">
        <f>SUM(J461:K462)</f>
        <v>1200000</v>
      </c>
      <c r="K463" s="2366"/>
      <c r="L463" s="2381"/>
      <c r="M463" s="2366">
        <f>M461</f>
        <v>0</v>
      </c>
      <c r="N463" s="2366"/>
      <c r="O463" s="2351"/>
      <c r="P463" s="2366">
        <f>P461</f>
        <v>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4628400</v>
      </c>
      <c r="H465" s="2366">
        <f>'Part IV-A-Uses of Funds'!H29</f>
        <v>0</v>
      </c>
      <c r="I465" s="2351"/>
      <c r="J465" s="2366">
        <f>'Part IV-A-Uses of Funds'!J29</f>
        <v>4628400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2799</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2798</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4628400</v>
      </c>
      <c r="H469" s="2366"/>
      <c r="I469" s="2351"/>
      <c r="J469" s="2366">
        <f>SUM(J465:K468)</f>
        <v>4628400</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3757</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349704</v>
      </c>
      <c r="F471" s="2475" t="e">
        <f>IF(($G$27+$G$33)=0,0,G471/($G$27+$G$33))</f>
        <v>#VALUE!</v>
      </c>
      <c r="G471" s="2366">
        <f>'Part IV-A-Uses of Funds'!G35</f>
        <v>349704</v>
      </c>
      <c r="H471" s="2366">
        <f>'Part IV-A-Uses of Funds'!H35</f>
        <v>0</v>
      </c>
      <c r="I471" s="2358"/>
      <c r="J471" s="2366">
        <f>'Part IV-A-Uses of Funds'!J35</f>
        <v>349704</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2755</v>
      </c>
      <c r="C472" s="2351"/>
      <c r="D472" s="2475">
        <f>'DCA Underwriting Assumptions'!$R$75</f>
        <v>0.02</v>
      </c>
      <c r="E472" s="2476">
        <f>D472*(G463+G469)</f>
        <v>116568</v>
      </c>
      <c r="F472" s="2475" t="e">
        <f>IF(($G$27+$G$33)=0,0,G472/($G$27+$G$33))</f>
        <v>#VALUE!</v>
      </c>
      <c r="G472" s="2366">
        <f>'Part IV-A-Uses of Funds'!G36</f>
        <v>116568</v>
      </c>
      <c r="H472" s="2366">
        <f>'Part IV-A-Uses of Funds'!H36</f>
        <v>0</v>
      </c>
      <c r="I472" s="2358"/>
      <c r="J472" s="2366">
        <f>'Part IV-A-Uses of Funds'!J36</f>
        <v>116568</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2756</v>
      </c>
      <c r="C473" s="2351"/>
      <c r="D473" s="2475">
        <f>'DCA Underwriting Assumptions'!$R$76</f>
        <v>0.06</v>
      </c>
      <c r="E473" s="2476">
        <f>D473*(G463+G469)</f>
        <v>349704</v>
      </c>
      <c r="F473" s="2475" t="e">
        <f>IF(($G$27+$G$33)=0,0,G473/($G$27+$G$33))</f>
        <v>#VALUE!</v>
      </c>
      <c r="G473" s="2366">
        <f>'Part IV-A-Uses of Funds'!G37</f>
        <v>349704</v>
      </c>
      <c r="H473" s="2366">
        <f>'Part IV-A-Uses of Funds'!H37</f>
        <v>0</v>
      </c>
      <c r="I473" s="2358"/>
      <c r="J473" s="2366">
        <f>'Part IV-A-Uses of Funds'!J37</f>
        <v>349704</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3758</v>
      </c>
      <c r="C474" s="2351"/>
      <c r="D474" s="2473">
        <f>SUM(D471:D473)</f>
        <v>0.14000000000000001</v>
      </c>
      <c r="E474" s="2477">
        <f>SUM(E471:E473)</f>
        <v>815976</v>
      </c>
      <c r="F474" s="2468" t="s">
        <v>193</v>
      </c>
      <c r="G474" s="2366">
        <f>SUM(G471:H473)</f>
        <v>815976</v>
      </c>
      <c r="H474" s="2366"/>
      <c r="I474" s="2351"/>
      <c r="J474" s="2366">
        <f>SUM(J471:K473)</f>
        <v>815976</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4764</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4765</v>
      </c>
      <c r="C479" s="2480"/>
      <c r="D479" s="2351"/>
      <c r="E479" s="2350" t="s">
        <v>2763</v>
      </c>
      <c r="F479" s="2481">
        <f>B480/'Part VI-Revenues &amp; Expenses'!$O$60</f>
        <v>138424.5</v>
      </c>
      <c r="G479" s="2482" t="s">
        <v>4766</v>
      </c>
      <c r="H479" s="2351"/>
      <c r="I479" s="2351"/>
      <c r="J479" s="2483">
        <f>B480/'Part VI-Revenues &amp; Expenses'!$O$62</f>
        <v>138424.5</v>
      </c>
      <c r="K479" s="2483"/>
      <c r="L479" s="2351"/>
      <c r="M479" s="2484" t="s">
        <v>1414</v>
      </c>
      <c r="N479" s="2484"/>
      <c r="O479" s="2351"/>
      <c r="P479" s="2483">
        <f>B480/'Part I-Project Information'!$P$71</f>
        <v>115.75366282817373</v>
      </c>
      <c r="Q479" s="2483"/>
      <c r="R479" s="2351"/>
      <c r="S479" s="2390" t="s">
        <v>2797</v>
      </c>
      <c r="T479" s="2390"/>
      <c r="U479" s="2351"/>
      <c r="V479" s="2465"/>
      <c r="W479" s="1329">
        <f>'Part IV-A-Uses of Funds'!W43</f>
        <v>0</v>
      </c>
      <c r="X479" s="1329">
        <f>'Part IV-A-Uses of Funds'!X43</f>
        <v>0</v>
      </c>
    </row>
    <row r="480" spans="1:24">
      <c r="A480" s="2351"/>
      <c r="B480" s="2485">
        <f>G463+G469+G474+G477</f>
        <v>6644376</v>
      </c>
      <c r="C480" s="2485"/>
      <c r="D480" s="2351"/>
      <c r="E480" s="2350"/>
      <c r="F480" s="2481">
        <f>B480/'Part VI-Revenues &amp; Expenses'!$O$117</f>
        <v>133.11648034619546</v>
      </c>
      <c r="G480" s="2390" t="s">
        <v>4767</v>
      </c>
      <c r="H480" s="2351"/>
      <c r="I480" s="2351"/>
      <c r="J480" s="2483">
        <f>B480/'Part VI-Revenues &amp; Expenses'!$O$119</f>
        <v>133.11648034619546</v>
      </c>
      <c r="K480" s="2483"/>
      <c r="L480" s="2351"/>
      <c r="M480" s="2390" t="s">
        <v>2796</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4241</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4240</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332218.80000000005</v>
      </c>
      <c r="F483" s="2489">
        <f>G483/B480</f>
        <v>4.9999879597421942E-2</v>
      </c>
      <c r="G483" s="2366">
        <f>'Part IV-A-Uses of Funds'!G47</f>
        <v>332218</v>
      </c>
      <c r="H483" s="2366">
        <f>'Part IV-A-Uses of Funds'!H47</f>
        <v>0</v>
      </c>
      <c r="I483" s="2351"/>
      <c r="J483" s="2366">
        <f>'Part IV-A-Uses of Funds'!J47</f>
        <v>332218</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4768</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3759</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3760</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51490</v>
      </c>
      <c r="H490" s="2366">
        <f>'Part IV-A-Uses of Funds'!H54</f>
        <v>0</v>
      </c>
      <c r="I490" s="2351"/>
      <c r="J490" s="2366">
        <f>'Part IV-A-Uses of Funds'!J54</f>
        <v>51490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355246</v>
      </c>
      <c r="H491" s="2366">
        <f>'Part IV-A-Uses of Funds'!H55</f>
        <v>0</v>
      </c>
      <c r="I491" s="2351"/>
      <c r="J491" s="2366">
        <f>'Part IV-A-Uses of Funds'!J55</f>
        <v>280546</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74700</v>
      </c>
      <c r="T491" s="2366">
        <f>'Part IV-A-Uses of Funds'!T55</f>
        <v>0</v>
      </c>
      <c r="U491" s="2351"/>
      <c r="V491" s="2465"/>
      <c r="W491" s="1329"/>
      <c r="X491" s="1329"/>
    </row>
    <row r="492" spans="1:24">
      <c r="A492" s="2351"/>
      <c r="B492" s="2351" t="s">
        <v>2364</v>
      </c>
      <c r="C492" s="2351"/>
      <c r="D492" s="2351"/>
      <c r="E492" s="2351"/>
      <c r="F492" s="2351"/>
      <c r="G492" s="2366">
        <f>'Part IV-A-Uses of Funds'!G56</f>
        <v>25000</v>
      </c>
      <c r="H492" s="2366">
        <f>'Part IV-A-Uses of Funds'!H56</f>
        <v>0</v>
      </c>
      <c r="I492" s="2351"/>
      <c r="J492" s="2366">
        <f>'Part IV-A-Uses of Funds'!J56</f>
        <v>25000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15000</v>
      </c>
      <c r="H493" s="2366">
        <f>'Part IV-A-Uses of Funds'!H57</f>
        <v>0</v>
      </c>
      <c r="I493" s="2351"/>
      <c r="J493" s="2366">
        <f>'Part IV-A-Uses of Funds'!J57</f>
        <v>15000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20000</v>
      </c>
      <c r="H494" s="2366">
        <f>'Part IV-A-Uses of Funds'!H58</f>
        <v>0</v>
      </c>
      <c r="I494" s="2351"/>
      <c r="J494" s="2366">
        <f>'Part IV-A-Uses of Funds'!J58</f>
        <v>20000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31824</v>
      </c>
      <c r="H495" s="2366">
        <f>'Part IV-A-Uses of Funds'!H59</f>
        <v>0</v>
      </c>
      <c r="I495" s="2351"/>
      <c r="J495" s="2366">
        <f>'Part IV-A-Uses of Funds'!J59</f>
        <v>31824</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60000</v>
      </c>
      <c r="H496" s="2366">
        <f>'Part IV-A-Uses of Funds'!H60</f>
        <v>0</v>
      </c>
      <c r="I496" s="2351"/>
      <c r="J496" s="2366">
        <f>'Part IV-A-Uses of Funds'!J60</f>
        <v>20000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40000</v>
      </c>
      <c r="T496" s="2366">
        <f>'Part IV-A-Uses of Funds'!T60</f>
        <v>0</v>
      </c>
      <c r="U496" s="2351"/>
      <c r="V496" s="2465"/>
      <c r="W496" s="1329"/>
      <c r="X496" s="1329"/>
    </row>
    <row r="497" spans="1:24">
      <c r="A497" s="2351"/>
      <c r="B497" s="2490" t="s">
        <v>1163</v>
      </c>
      <c r="C497" s="2351"/>
      <c r="D497" s="2489"/>
      <c r="E497" s="2489"/>
      <c r="F497" s="2491"/>
      <c r="G497" s="2366">
        <f>'Part IV-A-Uses of Funds'!G61</f>
        <v>42735</v>
      </c>
      <c r="H497" s="2366">
        <f>'Part IV-A-Uses of Funds'!H61</f>
        <v>0</v>
      </c>
      <c r="I497" s="2358"/>
      <c r="J497" s="2366">
        <f>'Part IV-A-Uses of Funds'!J61</f>
        <v>42735</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601295</v>
      </c>
      <c r="H500" s="2366"/>
      <c r="I500" s="2351"/>
      <c r="J500" s="2366">
        <f>SUM(J488:K499)</f>
        <v>486595</v>
      </c>
      <c r="K500" s="2366"/>
      <c r="L500" s="2381"/>
      <c r="M500" s="2366">
        <f>SUM(M488:N499)</f>
        <v>0</v>
      </c>
      <c r="N500" s="2366"/>
      <c r="O500" s="2351"/>
      <c r="P500" s="2366">
        <f>SUM(P488:Q499)</f>
        <v>0</v>
      </c>
      <c r="Q500" s="2366"/>
      <c r="R500" s="2351"/>
      <c r="S500" s="2366">
        <f>SUM(S488:T499)</f>
        <v>114700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100000</v>
      </c>
      <c r="H502" s="2366">
        <f>'Part IV-A-Uses of Funds'!H66</f>
        <v>0</v>
      </c>
      <c r="I502" s="2351"/>
      <c r="J502" s="2366">
        <f>'Part IV-A-Uses of Funds'!J66</f>
        <v>100000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50000</v>
      </c>
      <c r="H503" s="2366">
        <f>'Part IV-A-Uses of Funds'!H67</f>
        <v>0</v>
      </c>
      <c r="I503" s="2351"/>
      <c r="J503" s="2366">
        <f>'Part IV-A-Uses of Funds'!J67</f>
        <v>50000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3876</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10000</v>
      </c>
      <c r="H505" s="2366">
        <f>'Part IV-A-Uses of Funds'!H69</f>
        <v>0</v>
      </c>
      <c r="I505" s="2351"/>
      <c r="J505" s="2366">
        <f>'Part IV-A-Uses of Funds'!J69</f>
        <v>10000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7500</v>
      </c>
      <c r="H506" s="2366">
        <f>'Part IV-A-Uses of Funds'!H70</f>
        <v>0</v>
      </c>
      <c r="I506" s="2351"/>
      <c r="J506" s="2366">
        <f>'Part IV-A-Uses of Funds'!J70</f>
        <v>7500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20000</v>
      </c>
      <c r="H507" s="2366">
        <f>'Part IV-A-Uses of Funds'!H71</f>
        <v>0</v>
      </c>
      <c r="I507" s="2351"/>
      <c r="J507" s="2366">
        <f>'Part IV-A-Uses of Funds'!J71</f>
        <v>20000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52800</v>
      </c>
      <c r="H508" s="2366">
        <f>'Part IV-A-Uses of Funds'!H72</f>
        <v>0</v>
      </c>
      <c r="I508" s="2351"/>
      <c r="J508" s="2366">
        <f>'Part IV-A-Uses of Funds'!J72</f>
        <v>52800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125000</v>
      </c>
      <c r="H509" s="2366">
        <f>'Part IV-A-Uses of Funds'!H73</f>
        <v>0</v>
      </c>
      <c r="I509" s="2351"/>
      <c r="J509" s="2366">
        <f>'Part IV-A-Uses of Funds'!J73</f>
        <v>85000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40000</v>
      </c>
      <c r="T509" s="2366">
        <f>'Part IV-A-Uses of Funds'!T73</f>
        <v>0</v>
      </c>
      <c r="U509" s="2351"/>
      <c r="V509" s="2465"/>
      <c r="W509" s="1329"/>
      <c r="X509" s="1329"/>
    </row>
    <row r="510" spans="1:24">
      <c r="A510" s="2351"/>
      <c r="B510" s="2351" t="s">
        <v>2065</v>
      </c>
      <c r="C510" s="2351"/>
      <c r="D510" s="2351"/>
      <c r="E510" s="2351"/>
      <c r="F510" s="2351"/>
      <c r="G510" s="2366">
        <f>'Part IV-A-Uses of Funds'!G74</f>
        <v>30000</v>
      </c>
      <c r="H510" s="2366">
        <f>'Part IV-A-Uses of Funds'!H74</f>
        <v>0</v>
      </c>
      <c r="I510" s="2351"/>
      <c r="J510" s="2366">
        <f>'Part IV-A-Uses of Funds'!J74</f>
        <v>25000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5000</v>
      </c>
      <c r="T510" s="2366">
        <f>'Part IV-A-Uses of Funds'!T74</f>
        <v>0</v>
      </c>
      <c r="U510" s="2351"/>
      <c r="V510" s="2465"/>
      <c r="W510" s="1329"/>
      <c r="X510" s="1329"/>
    </row>
    <row r="511" spans="1:24">
      <c r="A511" s="2351"/>
      <c r="B511" s="2351" t="s">
        <v>1289</v>
      </c>
      <c r="C511" s="2351"/>
      <c r="D511" s="2351"/>
      <c r="E511" s="2351"/>
      <c r="F511" s="2351"/>
      <c r="G511" s="2366">
        <f>'Part IV-A-Uses of Funds'!G75</f>
        <v>10000</v>
      </c>
      <c r="H511" s="2366">
        <f>'Part IV-A-Uses of Funds'!H75</f>
        <v>0</v>
      </c>
      <c r="I511" s="2351"/>
      <c r="J511" s="2366">
        <f>'Part IV-A-Uses of Funds'!J75</f>
        <v>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10000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425300</v>
      </c>
      <c r="H513" s="2366"/>
      <c r="I513" s="2351"/>
      <c r="J513" s="2366">
        <f>SUM(J502:K512)</f>
        <v>370300</v>
      </c>
      <c r="K513" s="2366"/>
      <c r="L513" s="2381"/>
      <c r="M513" s="2366">
        <f>SUM(M502:N512)</f>
        <v>0</v>
      </c>
      <c r="N513" s="2366"/>
      <c r="O513" s="2351"/>
      <c r="P513" s="2366">
        <f>SUM(P502:Q512)</f>
        <v>0</v>
      </c>
      <c r="Q513" s="2366"/>
      <c r="R513" s="2351"/>
      <c r="S513" s="2366">
        <f>SUM(S502:T512)</f>
        <v>55000</v>
      </c>
      <c r="T513" s="2366"/>
      <c r="U513" s="2351"/>
      <c r="V513" s="2465">
        <f>SUM(V502:V512)</f>
        <v>0</v>
      </c>
      <c r="W513" s="1329"/>
      <c r="X513" s="1329"/>
    </row>
    <row r="514" spans="1:24">
      <c r="A514" s="2351"/>
      <c r="B514" s="2348" t="s">
        <v>1281</v>
      </c>
      <c r="C514" s="2351"/>
      <c r="D514" s="2493" t="s">
        <v>3761</v>
      </c>
      <c r="E514" s="2494">
        <f>G519/'Part VI-Revenues &amp; Expenses'!$O$62</f>
        <v>5016.229166666667</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86915</v>
      </c>
      <c r="H515" s="2366">
        <f>'Part IV-A-Uses of Funds'!H79</f>
        <v>0</v>
      </c>
      <c r="I515" s="2351"/>
      <c r="J515" s="2366">
        <f>'Part IV-A-Uses of Funds'!J79</f>
        <v>86915</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110064</v>
      </c>
      <c r="H516" s="2366">
        <f>'Part IV-A-Uses of Funds'!H80</f>
        <v>0</v>
      </c>
      <c r="I516" s="2351"/>
      <c r="J516" s="2366">
        <f>'Part IV-A-Uses of Funds'!J80</f>
        <v>110064</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43800</v>
      </c>
      <c r="H517" s="2366">
        <f>'Part IV-A-Uses of Funds'!H81</f>
        <v>0</v>
      </c>
      <c r="I517" s="2358"/>
      <c r="J517" s="2366">
        <f>'Part IV-A-Uses of Funds'!J81</f>
        <v>43800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f>'Part IV-A-Uses of Funds'!E82</f>
        <v>0</v>
      </c>
      <c r="F518" s="2351"/>
      <c r="G518" s="2366">
        <f>'Part IV-A-Uses of Funds'!G82</f>
        <v>0</v>
      </c>
      <c r="H518" s="2366">
        <f>'Part IV-A-Uses of Funds'!H82</f>
        <v>0</v>
      </c>
      <c r="I518" s="2358"/>
      <c r="J518" s="2366">
        <f>'Part IV-A-Uses of Funds'!J82</f>
        <v>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240779</v>
      </c>
      <c r="H519" s="2366"/>
      <c r="I519" s="2351"/>
      <c r="J519" s="2366">
        <f>SUM(J515:K518)</f>
        <v>240779</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8000</v>
      </c>
      <c r="H521" s="2366">
        <f>'Part IV-A-Uses of Funds'!H85</f>
        <v>0</v>
      </c>
      <c r="I521" s="2351"/>
      <c r="J521" s="2366"/>
      <c r="K521" s="2366"/>
      <c r="L521" s="2381"/>
      <c r="M521" s="2366"/>
      <c r="N521" s="2366"/>
      <c r="O521" s="2351"/>
      <c r="P521" s="2366"/>
      <c r="Q521" s="2366"/>
      <c r="R521" s="2351"/>
      <c r="S521" s="2366">
        <f>'Part IV-A-Uses of Funds'!S85</f>
        <v>8000</v>
      </c>
      <c r="T521" s="2366">
        <f>'Part IV-A-Uses of Funds'!T85</f>
        <v>0</v>
      </c>
      <c r="U521" s="2351"/>
      <c r="V521" s="2465"/>
      <c r="W521" s="1329"/>
      <c r="X521" s="1329"/>
    </row>
    <row r="522" spans="1:24">
      <c r="A522" s="2351"/>
      <c r="B522" s="2351" t="s">
        <v>1287</v>
      </c>
      <c r="C522" s="2351"/>
      <c r="D522" s="2351"/>
      <c r="E522" s="2351"/>
      <c r="F522" s="2351"/>
      <c r="G522" s="2366">
        <f>'Part IV-A-Uses of Funds'!G86</f>
        <v>15000</v>
      </c>
      <c r="H522" s="2366">
        <f>'Part IV-A-Uses of Funds'!H86</f>
        <v>0</v>
      </c>
      <c r="I522" s="2351"/>
      <c r="J522" s="2366"/>
      <c r="K522" s="2366"/>
      <c r="L522" s="2381"/>
      <c r="M522" s="2366"/>
      <c r="N522" s="2366"/>
      <c r="O522" s="2351"/>
      <c r="P522" s="2366"/>
      <c r="Q522" s="2366"/>
      <c r="R522" s="2351"/>
      <c r="S522" s="2366">
        <f>'Part IV-A-Uses of Funds'!S86</f>
        <v>15000</v>
      </c>
      <c r="T522" s="2366">
        <f>'Part IV-A-Uses of Funds'!T86</f>
        <v>0</v>
      </c>
      <c r="U522" s="2351"/>
      <c r="V522" s="2465"/>
      <c r="W522" s="1329"/>
      <c r="X522" s="1329"/>
    </row>
    <row r="523" spans="1:24">
      <c r="A523" s="2351"/>
      <c r="B523" s="2351" t="s">
        <v>1288</v>
      </c>
      <c r="C523" s="2351"/>
      <c r="D523" s="2351"/>
      <c r="E523" s="2351"/>
      <c r="F523" s="2351"/>
      <c r="G523" s="2366">
        <f>'Part IV-A-Uses of Funds'!G87</f>
        <v>20000</v>
      </c>
      <c r="H523" s="2366">
        <f>'Part IV-A-Uses of Funds'!H87</f>
        <v>0</v>
      </c>
      <c r="I523" s="2351"/>
      <c r="J523" s="2366"/>
      <c r="K523" s="2366"/>
      <c r="L523" s="2381"/>
      <c r="M523" s="2366"/>
      <c r="N523" s="2366"/>
      <c r="O523" s="2351"/>
      <c r="P523" s="2366"/>
      <c r="Q523" s="2366"/>
      <c r="R523" s="2351"/>
      <c r="S523" s="2366">
        <f>'Part IV-A-Uses of Funds'!S87</f>
        <v>20000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43000</v>
      </c>
      <c r="H527" s="2366"/>
      <c r="I527" s="2351"/>
      <c r="J527" s="2366"/>
      <c r="K527" s="2366"/>
      <c r="L527" s="2381"/>
      <c r="M527" s="2366"/>
      <c r="N527" s="2366"/>
      <c r="O527" s="2351"/>
      <c r="P527" s="2366"/>
      <c r="Q527" s="2366"/>
      <c r="R527" s="2351"/>
      <c r="S527" s="2366">
        <f>SUM(S521:T526)</f>
        <v>43000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4769</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3983</v>
      </c>
      <c r="C534" s="2351"/>
      <c r="D534" s="2351"/>
      <c r="E534" s="2351"/>
      <c r="F534" s="2351"/>
      <c r="G534" s="2366">
        <f>'Part IV-A-Uses of Funds'!G98</f>
        <v>0</v>
      </c>
      <c r="H534" s="2366">
        <f>'Part IV-A-Uses of Funds'!H98</f>
        <v>0</v>
      </c>
      <c r="I534" s="2351"/>
      <c r="J534" s="2381"/>
      <c r="K534" s="2381"/>
      <c r="L534" s="2497"/>
      <c r="M534" s="2381"/>
      <c r="N534" s="2381"/>
      <c r="O534" s="2351"/>
      <c r="P534" s="2381"/>
      <c r="Q534" s="2381"/>
      <c r="R534" s="2351"/>
      <c r="S534" s="2366">
        <f>'Part IV-A-Uses of Funds'!S98</f>
        <v>0</v>
      </c>
      <c r="T534" s="2366">
        <f>'Part IV-A-Uses of Funds'!T98</f>
        <v>0</v>
      </c>
      <c r="U534" s="2351"/>
      <c r="V534" s="2465"/>
      <c r="W534" s="1329"/>
      <c r="X534" s="1329"/>
    </row>
    <row r="535" spans="1:24">
      <c r="A535" s="2351"/>
      <c r="B535" s="2351" t="s">
        <v>524</v>
      </c>
      <c r="C535" s="2351"/>
      <c r="D535" s="2351"/>
      <c r="E535" s="2498">
        <f>'DCA Underwriting Assumptions'!$Q$88*J611</f>
        <v>57120</v>
      </c>
      <c r="F535" s="2498"/>
      <c r="G535" s="2366">
        <f>'Part IV-A-Uses of Funds'!G99</f>
        <v>57120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57120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536" s="2498"/>
      <c r="G536" s="2366">
        <f>'Part IV-A-Uses of Funds'!G100</f>
        <v>38400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38400</v>
      </c>
      <c r="T536" s="2366">
        <f>'Part IV-A-Uses of Funds'!T100</f>
        <v>0</v>
      </c>
      <c r="U536" s="2351"/>
      <c r="V536" s="2465"/>
      <c r="W536" s="1329"/>
      <c r="X536" s="1329"/>
    </row>
    <row r="537" spans="1:24">
      <c r="A537" s="2351"/>
      <c r="B537" s="2351" t="s">
        <v>4297</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4298</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108020</v>
      </c>
      <c r="H541" s="2366"/>
      <c r="I541" s="2351"/>
      <c r="J541" s="2381"/>
      <c r="K541" s="2381"/>
      <c r="L541" s="2381"/>
      <c r="M541" s="2381"/>
      <c r="N541" s="2381"/>
      <c r="O541" s="2351"/>
      <c r="P541" s="2381"/>
      <c r="Q541" s="2381"/>
      <c r="R541" s="2351"/>
      <c r="S541" s="2366">
        <f>SUM(S532:T540)</f>
        <v>108020</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0</v>
      </c>
      <c r="H543" s="2366">
        <f>'Part IV-A-Uses of Funds'!H107</f>
        <v>0</v>
      </c>
      <c r="I543" s="2351"/>
      <c r="J543" s="2366"/>
      <c r="K543" s="2366"/>
      <c r="L543" s="2381"/>
      <c r="M543" s="2366"/>
      <c r="N543" s="2366"/>
      <c r="O543" s="2351"/>
      <c r="P543" s="2366"/>
      <c r="Q543" s="2366"/>
      <c r="R543" s="2351"/>
      <c r="S543" s="2366">
        <f>'Part IV-A-Uses of Funds'!S107</f>
        <v>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2402</v>
      </c>
      <c r="C545" s="2351"/>
      <c r="D545" s="2351"/>
      <c r="E545" s="2351"/>
      <c r="F545" s="2351"/>
      <c r="G545" s="2366">
        <f>'Part IV-A-Uses of Funds'!G109</f>
        <v>50000</v>
      </c>
      <c r="H545" s="2366">
        <f>'Part IV-A-Uses of Funds'!H109</f>
        <v>0</v>
      </c>
      <c r="I545" s="2351"/>
      <c r="J545" s="2366"/>
      <c r="K545" s="2366"/>
      <c r="L545" s="2381"/>
      <c r="M545" s="2366"/>
      <c r="N545" s="2366"/>
      <c r="O545" s="2351"/>
      <c r="P545" s="2366"/>
      <c r="Q545" s="2366"/>
      <c r="R545" s="2351"/>
      <c r="S545" s="2366">
        <f>'Part IV-A-Uses of Funds'!S109</f>
        <v>50000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50000</v>
      </c>
      <c r="H547" s="2366"/>
      <c r="I547" s="2351"/>
      <c r="J547" s="2366"/>
      <c r="K547" s="2366"/>
      <c r="L547" s="2381"/>
      <c r="M547" s="2366"/>
      <c r="N547" s="2366"/>
      <c r="O547" s="2351"/>
      <c r="P547" s="2366"/>
      <c r="Q547" s="2366"/>
      <c r="R547" s="2351"/>
      <c r="S547" s="2366">
        <f>SUM(S543:T546)</f>
        <v>50000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0</v>
      </c>
      <c r="H549" s="2366">
        <f>'Part IV-A-Uses of Funds'!H113</f>
        <v>0</v>
      </c>
      <c r="I549" s="2351"/>
      <c r="J549" s="2366">
        <f>'Part IV-A-Uses of Funds'!J113</f>
        <v>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4250</v>
      </c>
      <c r="C550" s="2351"/>
      <c r="D550" s="2351"/>
      <c r="E550" s="2351"/>
      <c r="F550" s="2502">
        <f>'Part IV-A-Uses of Funds'!F114</f>
        <v>35000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3659</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1230000</v>
      </c>
      <c r="H553" s="2366">
        <f>'Part IV-A-Uses of Funds'!H117</f>
        <v>0</v>
      </c>
      <c r="I553" s="2351"/>
      <c r="J553" s="2366">
        <f>'Part IV-A-Uses of Funds'!J117</f>
        <v>1230000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1230000</v>
      </c>
      <c r="H554" s="2366"/>
      <c r="I554" s="2351"/>
      <c r="J554" s="2366">
        <f>SUM(J549:K553)</f>
        <v>1230000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25000</v>
      </c>
      <c r="H556" s="2366">
        <f>'Part IV-A-Uses of Funds'!H120</f>
        <v>0</v>
      </c>
      <c r="I556" s="2351"/>
      <c r="J556" s="2497"/>
      <c r="K556" s="2497"/>
      <c r="L556" s="2497"/>
      <c r="M556" s="2497"/>
      <c r="N556" s="2497"/>
      <c r="O556" s="2351"/>
      <c r="P556" s="2497"/>
      <c r="Q556" s="2497"/>
      <c r="R556" s="2351"/>
      <c r="S556" s="2366">
        <f>'Part IV-A-Uses of Funds'!S120</f>
        <v>25000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64727.25</v>
      </c>
      <c r="G557" s="2366">
        <f>'Part IV-A-Uses of Funds'!G121</f>
        <v>64727</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64727</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185621.52765406188</v>
      </c>
      <c r="G558" s="2366">
        <f>'Part IV-A-Uses of Funds'!G122</f>
        <v>185622</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185622</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3590</v>
      </c>
      <c r="F560" s="2417">
        <f>IF('Part VI-Revenues &amp; Expenses'!$O$62=0,0,G560/'Part VI-Revenues &amp; Expenses'!$O$62)</f>
        <v>1100</v>
      </c>
      <c r="G560" s="2366">
        <f>'Part IV-A-Uses of Funds'!G124</f>
        <v>52800</v>
      </c>
      <c r="H560" s="2366">
        <f>'Part IV-A-Uses of Funds'!H124</f>
        <v>0</v>
      </c>
      <c r="I560" s="2351"/>
      <c r="J560" s="2366">
        <f>'Part IV-A-Uses of Funds'!J124</f>
        <v>52800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328149</v>
      </c>
      <c r="H562" s="2366"/>
      <c r="I562" s="2351"/>
      <c r="J562" s="2366">
        <f>SUM(J560:K561)</f>
        <v>52800</v>
      </c>
      <c r="K562" s="2366"/>
      <c r="L562" s="2381"/>
      <c r="M562" s="2366">
        <f>SUM(M560:N561)</f>
        <v>0</v>
      </c>
      <c r="N562" s="2366"/>
      <c r="O562" s="2351"/>
      <c r="P562" s="2366">
        <f>SUM(P560:Q561)</f>
        <v>0</v>
      </c>
      <c r="Q562" s="2366"/>
      <c r="R562" s="2351"/>
      <c r="S562" s="2366">
        <f>SUM(S556:T561)</f>
        <v>275349</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4770</v>
      </c>
      <c r="C568" s="2351"/>
      <c r="D568" s="2351"/>
      <c r="E568" s="2351"/>
      <c r="F568" s="2351"/>
      <c r="G568" s="2507">
        <f>G453+G459+G463+G469+G474+G477+G483+G500+G513+G519+G527+G541+G547+G554+G562+G566</f>
        <v>11919387</v>
      </c>
      <c r="H568" s="2507"/>
      <c r="I568" s="2351"/>
      <c r="J568" s="2507">
        <f>J453+J459+J463+J469+J474+J477+J483+J500+J513+J519+J527+J541+J547+J554+J562+J566</f>
        <v>9423318</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2496069</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4771</v>
      </c>
      <c r="C570" s="2480"/>
      <c r="D570" s="2509">
        <f>IF('Part VI-Revenues &amp; Expenses'!$O$62=0,0,G568/'Part VI-Revenues &amp; Expenses'!$O$62)</f>
        <v>248320.5625</v>
      </c>
      <c r="E570" s="2509"/>
      <c r="F570" s="2496" t="s">
        <v>2782</v>
      </c>
      <c r="G570" s="2509">
        <f>IF('Part I-Project Information'!$P$71=0,0,G568/'Part I-Project Information'!$P$71)</f>
        <v>207.6512081671051</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9423318</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9423318</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12250313.4</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0.82694234082622109</v>
      </c>
      <c r="K590" s="2515"/>
      <c r="L590" s="2351"/>
      <c r="M590" s="2515">
        <f>MIN('Part VI-Revenues &amp; Expenses'!$O$58/'Part VI-Revenues &amp; Expenses'!$O$60,'Part VI-Revenues &amp; Expenses'!$O$115/'Part VI-Revenues &amp; Expenses'!$O$117)</f>
        <v>0.82694234082622109</v>
      </c>
      <c r="N590" s="2515"/>
      <c r="O590" s="2351"/>
      <c r="P590" s="2515">
        <f>MIN('Part VI-Revenues &amp; Expenses'!$O$58/'Part VI-Revenues &amp; Expenses'!$O$60,'Part VI-Revenues &amp; Expenses'!$O$115/'Part VI-Revenues &amp; Expenses'!$O$117)</f>
        <v>0.82694234082622109</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10130302.838850824</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911727.2554965741</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911727.2554965741</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4772</v>
      </c>
      <c r="C598" s="2351"/>
      <c r="D598" s="2351"/>
      <c r="E598" s="2351"/>
      <c r="F598" s="2351"/>
      <c r="G598" s="2474" t="str">
        <f>IF(J599&gt;J598,"TDC exceeds QAP PUCL!","")</f>
        <v/>
      </c>
      <c r="H598" s="2474"/>
      <c r="I598" s="2474"/>
      <c r="J598" s="2444">
        <f>'Part VIII-Threshold Criteria'!$P$63</f>
        <v>11941094</v>
      </c>
      <c r="K598" s="2444"/>
      <c r="L598" s="2444"/>
      <c r="M598" s="2518" t="s">
        <v>2765</v>
      </c>
      <c r="N598" s="2518"/>
      <c r="O598" s="2518"/>
      <c r="P598" s="2518"/>
      <c r="Q598" s="2518"/>
      <c r="R598" s="2518"/>
      <c r="S598" s="2518" t="s">
        <v>3700</v>
      </c>
      <c r="T598" s="2518"/>
      <c r="U598" s="2351"/>
      <c r="V598" s="2465"/>
      <c r="W598" s="1329"/>
      <c r="X598" s="1329"/>
    </row>
    <row r="599" spans="1:24">
      <c r="A599" s="2351"/>
      <c r="B599" s="2351" t="s">
        <v>4773</v>
      </c>
      <c r="C599" s="2351"/>
      <c r="D599" s="2351"/>
      <c r="E599" s="2351"/>
      <c r="F599" s="2351"/>
      <c r="G599" s="2351"/>
      <c r="H599" s="2351"/>
      <c r="I599" s="2351"/>
      <c r="J599" s="2387">
        <f>'Part IV-A-Uses of Funds'!J163</f>
        <v>11919387</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2000000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9919387</v>
      </c>
      <c r="K601" s="2387"/>
      <c r="L601" s="2387"/>
      <c r="M601" s="2363" t="s">
        <v>2766</v>
      </c>
      <c r="N601" s="2363"/>
      <c r="O601" s="2519">
        <f>'Part III-Sources of Funds'!$I$41</f>
        <v>0</v>
      </c>
      <c r="P601" s="2519"/>
      <c r="Q601" s="2519"/>
      <c r="R601" s="2519"/>
      <c r="S601" s="2520" t="s">
        <v>1675</v>
      </c>
      <c r="T601" s="2521">
        <f>'Part IV-A-Uses of Funds'!T165</f>
        <v>0</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991938.7</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4774</v>
      </c>
      <c r="C604" s="2351"/>
      <c r="D604" s="2351"/>
      <c r="E604" s="2351"/>
      <c r="F604" s="2351"/>
      <c r="G604" s="2351"/>
      <c r="H604" s="2351"/>
      <c r="I604" s="2351"/>
      <c r="J604" s="2522">
        <f>N604+Q604</f>
        <v>1.38</v>
      </c>
      <c r="K604" s="2522"/>
      <c r="L604" s="2522"/>
      <c r="M604" s="2356" t="s">
        <v>1301</v>
      </c>
      <c r="N604" s="2523">
        <f>'Part IV-A-Uses of Funds'!N168</f>
        <v>0.85</v>
      </c>
      <c r="O604" s="2523">
        <f>'Part IV-A-Uses of Funds'!O168</f>
        <v>0</v>
      </c>
      <c r="P604" s="2356" t="s">
        <v>618</v>
      </c>
      <c r="Q604" s="2523">
        <f>'Part IV-A-Uses of Funds'!Q168</f>
        <v>0.53</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718796.15942028991</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4775</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718796.15942028991</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4776</v>
      </c>
      <c r="C609" s="2351"/>
      <c r="D609" s="2351"/>
      <c r="E609" s="2351"/>
      <c r="F609" s="2351"/>
      <c r="G609" s="2351"/>
      <c r="H609" s="2351"/>
      <c r="I609" s="2351"/>
      <c r="J609" s="2446">
        <f>'Part IV-A-Uses of Funds'!J173</f>
        <v>714000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4777</v>
      </c>
      <c r="C611" s="2351"/>
      <c r="D611" s="2358"/>
      <c r="E611" s="2358"/>
      <c r="F611" s="2359"/>
      <c r="G611" s="2351"/>
      <c r="H611" s="2351"/>
      <c r="I611" s="2351"/>
      <c r="J611" s="2446">
        <f>IF(J609="",0,+MIN(J607,J609))</f>
        <v>714000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Hard costs estimated by the construction company that has decades experience building multifamily housing.  Applicant is building 4-story elevator-served building.  Permit, Impact, Water Tap and Sewer Tap calculated based on current rates with conversations with the city (see Tab 1).
Currently the construction sources only allow for $35,000 of Developer Fee to be paid during construction, despite what the equity partner is willing to allow in their LOI.  The Developer is aware of that and consents accordingly.
We have confirmed with the city that there are no Water or Sewer tap fee; however, there is a Water Meter Fee.  We have listed the calculation engineers gave us for Water Meter Fee on the Water Tap Fee line-item.  Permits and Impact Fees were calculated with the engineers and city guidance.</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2018-046 - Abbington on Cheshire Bridge  -  Atlanta  -  Fulton,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3739</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4778</v>
      </c>
      <c r="B627" s="2529"/>
      <c r="C627" s="2529"/>
      <c r="D627" s="2529"/>
      <c r="E627" s="2527"/>
      <c r="F627" s="2530" t="s">
        <v>3730</v>
      </c>
      <c r="G627" s="2531"/>
      <c r="H627" s="2530" t="s">
        <v>3731</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3733</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3733</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3733</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3732</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3733</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3733</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3733</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3733</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3733</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4779</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3733</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3733</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4780</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3733</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3733</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4781</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3733</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2018-046 Abbington on Cheshire Bridge,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3832</v>
      </c>
    </row>
    <row r="716" spans="1:13" ht="25.5">
      <c r="A716" s="2547" t="s">
        <v>622</v>
      </c>
      <c r="B716" s="2547" t="s">
        <v>2243</v>
      </c>
      <c r="F716" s="683" t="s">
        <v>2536</v>
      </c>
      <c r="I716" s="2548" t="str">
        <f>'Part V-Utility Allowances'!I7</f>
        <v>Atlanta Housing Authority</v>
      </c>
      <c r="J716" s="2548"/>
      <c r="K716" s="2548"/>
      <c r="L716" s="2548"/>
      <c r="M716" s="2548"/>
    </row>
    <row r="717" spans="1:13">
      <c r="A717" s="2547"/>
      <c r="F717" s="683" t="s">
        <v>642</v>
      </c>
      <c r="I717" s="2549">
        <f>'Part V-Utility Allowances'!I8</f>
        <v>42917</v>
      </c>
      <c r="J717" s="2549">
        <f>'Part V-Utility Allowances'!J8</f>
        <v>0</v>
      </c>
      <c r="K717" s="2550" t="s">
        <v>545</v>
      </c>
      <c r="L717" s="2442" t="str">
        <f>'Part V-Utility Allowances'!L8</f>
        <v>MF</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7</v>
      </c>
      <c r="K721" s="2550">
        <f>'Part V-Utility Allowances'!K12</f>
        <v>9</v>
      </c>
      <c r="L721" s="2550">
        <f>'Part V-Utility Allowances'!L12</f>
        <v>11</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9</v>
      </c>
      <c r="K722" s="2550">
        <f>'Part V-Utility Allowances'!K13</f>
        <v>11</v>
      </c>
      <c r="L722" s="2550">
        <f>'Part V-Utility Allowances'!L13</f>
        <v>14</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18</v>
      </c>
      <c r="K723" s="2550">
        <f>'Part V-Utility Allowances'!K14</f>
        <v>25</v>
      </c>
      <c r="L723" s="2550">
        <f>'Part V-Utility Allowances'!L14</f>
        <v>32</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9</v>
      </c>
      <c r="K724" s="2550">
        <f>'Part V-Utility Allowances'!K15</f>
        <v>16</v>
      </c>
      <c r="L724" s="2550">
        <f>'Part V-Utility Allowances'!L15</f>
        <v>22</v>
      </c>
      <c r="M724" s="2550">
        <f>'Part V-Utility Allowances'!M15</f>
        <v>0</v>
      </c>
    </row>
    <row r="725" spans="1:13">
      <c r="B725" s="683" t="s">
        <v>3829</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3830</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3831</v>
      </c>
      <c r="D727" s="683" t="s">
        <v>1608</v>
      </c>
      <c r="F727" s="2553" t="str">
        <f>'Part V-Utility Allowances'!F18</f>
        <v>X</v>
      </c>
      <c r="G727" s="2553">
        <f>'Part V-Utility Allowances'!G18</f>
        <v>0</v>
      </c>
      <c r="I727" s="2550">
        <f>'Part V-Utility Allowances'!I18</f>
        <v>0</v>
      </c>
      <c r="J727" s="2550">
        <f>'Part V-Utility Allowances'!J18</f>
        <v>39</v>
      </c>
      <c r="K727" s="2550">
        <f>'Part V-Utility Allowances'!K18</f>
        <v>48</v>
      </c>
      <c r="L727" s="2550">
        <f>'Part V-Utility Allowances'!L18</f>
        <v>57</v>
      </c>
      <c r="M727" s="2550">
        <f>'Part V-Utility Allowances'!M18</f>
        <v>0</v>
      </c>
    </row>
    <row r="728" spans="1:13">
      <c r="B728" s="683" t="s">
        <v>1382</v>
      </c>
      <c r="D728" s="683" t="s">
        <v>4543</v>
      </c>
      <c r="E728" s="2550" t="str">
        <f>'Part V-Utility Allowances'!E19</f>
        <v>Yes</v>
      </c>
      <c r="F728" s="2553" t="str">
        <f>'Part V-Utility Allowances'!F19</f>
        <v>X</v>
      </c>
      <c r="G728" s="2553">
        <f>'Part V-Utility Allowances'!G19</f>
        <v>0</v>
      </c>
      <c r="I728" s="2550">
        <f>'Part V-Utility Allowances'!I19</f>
        <v>0</v>
      </c>
      <c r="J728" s="2550">
        <f>'Part V-Utility Allowances'!J19</f>
        <v>75</v>
      </c>
      <c r="K728" s="2550">
        <f>'Part V-Utility Allowances'!K19</f>
        <v>117</v>
      </c>
      <c r="L728" s="2550">
        <f>'Part V-Utility Allowances'!L19</f>
        <v>164</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157</v>
      </c>
      <c r="K730" s="2552">
        <f>IF(SUM(K721:K729)=0,0,IF(OR($D721="&lt;&lt;Select Fuel &gt;&gt;",$D722="&lt;&lt;Select Fuel &gt;&gt;",$D723="&lt;&lt;Select Fuel &gt;&gt;"),"Select Fuel",IF($E728="&lt;Select&gt;","Submeter?",SUM(K721:K729))))</f>
        <v>226</v>
      </c>
      <c r="L730" s="2552">
        <f>IF(SUM(L721:L729)=0,0,IF(OR($D721="&lt;&lt;Select Fuel &gt;&gt;",$D722="&lt;&lt;Select Fuel &gt;&gt;",$D723="&lt;&lt;Select Fuel &gt;&gt;"),"Select Fuel",IF($E728="&lt;Select&gt;","Submeter?",SUM(L721:L729))))</f>
        <v>300</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3829</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3830</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3831</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4543</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4544</v>
      </c>
      <c r="F748" s="2550"/>
      <c r="G748" s="2550"/>
      <c r="I748" s="2552"/>
      <c r="J748" s="2552"/>
      <c r="K748" s="2552"/>
      <c r="L748" s="2552"/>
      <c r="M748" s="2552"/>
    </row>
    <row r="749" spans="1:13">
      <c r="A749" s="2547"/>
      <c r="B749" s="2547" t="s">
        <v>577</v>
      </c>
    </row>
    <row r="750" spans="1:13" ht="300">
      <c r="B750" s="1329" t="str">
        <f>'Part V-Utility Allowances'!B41</f>
        <v>Property will provide Range/Microwave and Refrigerator.  Utilty allowances confirmed most recent and in effect as of January 1, 2018 with Atlanta Housing Authority (who administers Section 8 within the City of Atlanta, where the development is located).</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4.1" customHeight="1">
      <c r="A758" s="2544" t="str">
        <f>CONCATENATE("PART SIX - PROJECTED REVENUES &amp; EXPENSES","  -  ",'Part I-Project Information'!$O$6," ",'Part I-Project Information'!$F$34,", ",'Part I-Project Information'!F795,", ",'Part I-Project Information'!J796," County")</f>
        <v>PART SIX - PROJECTED REVENUES &amp; EXPENSES  -  2018-046 Abbington on Cheshire Bridge,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2018-046 Abbington on Cheshire Bridge,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3593</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3445</v>
      </c>
      <c r="JD760" s="2548" t="s">
        <v>3446</v>
      </c>
      <c r="JE760" s="2548" t="s">
        <v>3447</v>
      </c>
      <c r="JF760" s="2548" t="s">
        <v>3448</v>
      </c>
      <c r="JG760" s="2548" t="s">
        <v>3449</v>
      </c>
    </row>
    <row r="761" spans="1:277" s="2355" customFormat="1" ht="3" customHeight="1">
      <c r="B761" s="2544"/>
      <c r="D761" s="2544"/>
      <c r="P761" s="2558" t="s">
        <v>4782</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35" customHeight="1">
      <c r="A762" s="2561" t="str">
        <f>IF(A805&gt;0,"Finish Row!","")</f>
        <v/>
      </c>
      <c r="B762" s="2544" t="s">
        <v>1860</v>
      </c>
      <c r="E762" s="2544"/>
      <c r="G762" s="2554">
        <f>'Part VI-Revenues &amp; Expenses'!G5</f>
        <v>0</v>
      </c>
      <c r="H762" s="2544"/>
      <c r="I762" s="2562" t="s">
        <v>806</v>
      </c>
      <c r="J762" s="2562" t="s">
        <v>3588</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3440</v>
      </c>
      <c r="JI762" s="2560" t="s">
        <v>3441</v>
      </c>
      <c r="JJ762" s="2560" t="s">
        <v>3442</v>
      </c>
      <c r="JK762" s="2560" t="s">
        <v>3443</v>
      </c>
      <c r="JL762" s="2560" t="s">
        <v>3444</v>
      </c>
      <c r="JM762" s="2548" t="s">
        <v>3454</v>
      </c>
      <c r="JN762" s="2548" t="s">
        <v>3456</v>
      </c>
      <c r="JO762" s="2548" t="s">
        <v>3457</v>
      </c>
      <c r="JP762" s="2548" t="s">
        <v>3458</v>
      </c>
      <c r="JQ762" s="2548" t="s">
        <v>3459</v>
      </c>
    </row>
    <row r="763" spans="1:277" s="2355" customFormat="1" ht="13.35" customHeight="1">
      <c r="A763" s="2561"/>
      <c r="B763" s="2564" t="s">
        <v>1818</v>
      </c>
      <c r="E763" s="2544"/>
      <c r="F763" s="2550" t="str">
        <f>'Part VI-Revenues &amp; Expenses'!F6</f>
        <v>No</v>
      </c>
      <c r="G763" s="2562" t="s">
        <v>3690</v>
      </c>
      <c r="H763" s="2558" t="s">
        <v>3919</v>
      </c>
      <c r="I763" s="2562" t="s">
        <v>807</v>
      </c>
      <c r="J763" s="2562" t="s">
        <v>3693</v>
      </c>
      <c r="K763" s="2560"/>
      <c r="L763" s="2560"/>
      <c r="M763" s="2565" t="str">
        <f>'Part I-Project Information'!$O$40</f>
        <v>Atlanta-Sandy Springs-Marietta</v>
      </c>
      <c r="N763" s="2565"/>
      <c r="O763" s="2566">
        <f>VLOOKUP('Part I-Project Information'!$O$40,'DCA Underwriting Assumptions'!$C$155:$D$265,2)</f>
        <v>69700</v>
      </c>
      <c r="P763" s="2558"/>
      <c r="Q763" s="2559"/>
      <c r="S763" s="2544" t="s">
        <v>2716</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3691</v>
      </c>
      <c r="H764" s="2558"/>
      <c r="I764" s="2518" t="s">
        <v>3878</v>
      </c>
      <c r="J764" s="2562" t="s">
        <v>3694</v>
      </c>
      <c r="K764" s="2560"/>
      <c r="L764" s="2560"/>
      <c r="P764" s="2558"/>
      <c r="Q764" s="2559"/>
      <c r="R764" s="2560"/>
      <c r="S764" s="2567"/>
      <c r="T764" s="2568" t="s">
        <v>2713</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3691</v>
      </c>
      <c r="I765" s="2518"/>
      <c r="J765" s="2562" t="s">
        <v>4783</v>
      </c>
      <c r="K765" s="2570" t="s">
        <v>146</v>
      </c>
      <c r="L765" s="2570"/>
      <c r="M765" s="2562" t="s">
        <v>2383</v>
      </c>
      <c r="N765" s="2562" t="s">
        <v>537</v>
      </c>
      <c r="O765" s="2562" t="s">
        <v>385</v>
      </c>
      <c r="P765" s="2558"/>
      <c r="Q765" s="2570" t="s">
        <v>3598</v>
      </c>
      <c r="R765" s="2570"/>
      <c r="S765" s="2562" t="s">
        <v>2712</v>
      </c>
      <c r="T765" s="2562" t="s">
        <v>2714</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3388</v>
      </c>
      <c r="FH765" s="2548" t="s">
        <v>3388</v>
      </c>
      <c r="FI765" s="2548" t="s">
        <v>3388</v>
      </c>
      <c r="FJ765" s="2548" t="s">
        <v>3388</v>
      </c>
      <c r="FK765" s="2548" t="s">
        <v>3388</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3384</v>
      </c>
      <c r="GB765" s="2548" t="s">
        <v>3384</v>
      </c>
      <c r="GC765" s="2548" t="s">
        <v>3384</v>
      </c>
      <c r="GD765" s="2548" t="s">
        <v>3384</v>
      </c>
      <c r="GE765" s="2548" t="s">
        <v>3384</v>
      </c>
      <c r="GF765" s="2548" t="s">
        <v>360</v>
      </c>
      <c r="GG765" s="2548" t="s">
        <v>360</v>
      </c>
      <c r="GH765" s="2548" t="s">
        <v>360</v>
      </c>
      <c r="GI765" s="2548" t="s">
        <v>360</v>
      </c>
      <c r="GJ765" s="2548" t="s">
        <v>360</v>
      </c>
      <c r="GK765" s="2548" t="s">
        <v>3383</v>
      </c>
      <c r="GL765" s="2548" t="s">
        <v>3383</v>
      </c>
      <c r="GM765" s="2548" t="s">
        <v>3383</v>
      </c>
      <c r="GN765" s="2548" t="s">
        <v>3383</v>
      </c>
      <c r="GO765" s="2548" t="s">
        <v>3383</v>
      </c>
      <c r="GP765" s="2548" t="s">
        <v>361</v>
      </c>
      <c r="GQ765" s="2548" t="s">
        <v>361</v>
      </c>
      <c r="GR765" s="2548" t="s">
        <v>361</v>
      </c>
      <c r="GS765" s="2548" t="s">
        <v>361</v>
      </c>
      <c r="GT765" s="2548" t="s">
        <v>361</v>
      </c>
      <c r="GU765" s="2548" t="s">
        <v>3382</v>
      </c>
      <c r="GV765" s="2548" t="s">
        <v>3382</v>
      </c>
      <c r="GW765" s="2548" t="s">
        <v>3382</v>
      </c>
      <c r="GX765" s="2548" t="s">
        <v>3382</v>
      </c>
      <c r="GY765" s="2548" t="s">
        <v>3382</v>
      </c>
      <c r="GZ765" s="2548" t="s">
        <v>362</v>
      </c>
      <c r="HA765" s="2548" t="s">
        <v>362</v>
      </c>
      <c r="HB765" s="2548" t="s">
        <v>362</v>
      </c>
      <c r="HC765" s="2548" t="s">
        <v>362</v>
      </c>
      <c r="HD765" s="2548" t="s">
        <v>362</v>
      </c>
      <c r="HE765" s="2548" t="s">
        <v>3385</v>
      </c>
      <c r="HF765" s="2548" t="s">
        <v>3385</v>
      </c>
      <c r="HG765" s="2548" t="s">
        <v>3385</v>
      </c>
      <c r="HH765" s="2548" t="s">
        <v>3385</v>
      </c>
      <c r="HI765" s="2548" t="s">
        <v>3385</v>
      </c>
      <c r="HJ765" s="2548" t="s">
        <v>363</v>
      </c>
      <c r="HK765" s="2548" t="s">
        <v>363</v>
      </c>
      <c r="HL765" s="2548" t="s">
        <v>363</v>
      </c>
      <c r="HM765" s="2548" t="s">
        <v>363</v>
      </c>
      <c r="HN765" s="2548" t="s">
        <v>363</v>
      </c>
      <c r="HO765" s="2548" t="s">
        <v>3386</v>
      </c>
      <c r="HP765" s="2548" t="s">
        <v>3386</v>
      </c>
      <c r="HQ765" s="2548" t="s">
        <v>3386</v>
      </c>
      <c r="HR765" s="2548" t="s">
        <v>3386</v>
      </c>
      <c r="HS765" s="2548" t="s">
        <v>3386</v>
      </c>
      <c r="HT765" s="2548" t="s">
        <v>1473</v>
      </c>
      <c r="HU765" s="2548" t="s">
        <v>1473</v>
      </c>
      <c r="HV765" s="2548" t="s">
        <v>1473</v>
      </c>
      <c r="HW765" s="2548" t="s">
        <v>1473</v>
      </c>
      <c r="HX765" s="2548" t="s">
        <v>1473</v>
      </c>
      <c r="HY765" s="2548" t="s">
        <v>3387</v>
      </c>
      <c r="HZ765" s="2548" t="s">
        <v>3387</v>
      </c>
      <c r="IA765" s="2548" t="s">
        <v>3387</v>
      </c>
      <c r="IB765" s="2548" t="s">
        <v>3387</v>
      </c>
      <c r="IC765" s="2548" t="s">
        <v>3387</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3692</v>
      </c>
      <c r="H766" s="2562" t="s">
        <v>1490</v>
      </c>
      <c r="I766" s="2518"/>
      <c r="J766" s="2571" t="s">
        <v>352</v>
      </c>
      <c r="K766" s="2562" t="s">
        <v>1542</v>
      </c>
      <c r="L766" s="2562" t="s">
        <v>544</v>
      </c>
      <c r="M766" s="2562" t="s">
        <v>1488</v>
      </c>
      <c r="N766" s="2562" t="s">
        <v>3337</v>
      </c>
      <c r="O766" s="2562" t="s">
        <v>386</v>
      </c>
      <c r="P766" s="2558"/>
      <c r="Q766" s="2562" t="s">
        <v>3599</v>
      </c>
      <c r="R766" s="2562" t="s">
        <v>1050</v>
      </c>
      <c r="S766" s="2562" t="s">
        <v>1490</v>
      </c>
      <c r="T766" s="2562" t="s">
        <v>2715</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3389</v>
      </c>
      <c r="FR766" s="2550" t="s">
        <v>3389</v>
      </c>
      <c r="FS766" s="2550" t="s">
        <v>3389</v>
      </c>
      <c r="FT766" s="2550" t="s">
        <v>3389</v>
      </c>
      <c r="FU766" s="2550" t="s">
        <v>3389</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&lt;&lt;Select&gt;&gt;</v>
      </c>
      <c r="C767" s="2573">
        <f>'Part VI-Revenues &amp; Expenses'!C10</f>
        <v>0</v>
      </c>
      <c r="D767" s="2574">
        <f>'Part VI-Revenues &amp; Expenses'!D10</f>
        <v>0</v>
      </c>
      <c r="E767" s="2575">
        <f>'Part VI-Revenues &amp; Expenses'!E10</f>
        <v>0</v>
      </c>
      <c r="F767" s="2575">
        <f>'Part VI-Revenues &amp; Expenses'!F10</f>
        <v>0</v>
      </c>
      <c r="G767" s="2575">
        <f>'Part VI-Revenues &amp; Expenses'!G10</f>
        <v>0</v>
      </c>
      <c r="H767" s="2575">
        <f>'Part VI-Revenues &amp; Expenses'!H10</f>
        <v>0</v>
      </c>
      <c r="I767" s="2575">
        <f>'Part VI-Revenues &amp; Expenses'!I10</f>
        <v>0</v>
      </c>
      <c r="J767" s="2576">
        <f>'Part VI-Revenues &amp; Expenses'!J10</f>
        <v>0</v>
      </c>
      <c r="K767" s="2577">
        <f t="shared" ref="K767:K804" si="2">MAX(0,H767-I767)</f>
        <v>0</v>
      </c>
      <c r="L767" s="2577">
        <f t="shared" ref="L767:L804" si="3">MAX(0,E767*K767)</f>
        <v>0</v>
      </c>
      <c r="M767" s="2451">
        <f>'Part VI-Revenues &amp; Expenses'!M10</f>
        <v>0</v>
      </c>
      <c r="N767" s="2451">
        <f>'Part VI-Revenues &amp; Expenses'!N10</f>
        <v>0</v>
      </c>
      <c r="O767" s="2451">
        <f>'Part VI-Revenues &amp; Expenses'!O10</f>
        <v>0</v>
      </c>
      <c r="P767" s="2557">
        <f>'Part VI-Revenues &amp; Expenses'!P10</f>
        <v>0</v>
      </c>
      <c r="Q767" s="2578" t="str">
        <f>'Part VI-Revenues &amp; Expenses'!Q10</f>
        <v/>
      </c>
      <c r="R767" s="2579" t="str">
        <f>'Part VI-Revenues &amp; Expenses'!R10</f>
        <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t="str">
        <f t="shared" ref="AC767:AC804" si="10">IF(AND(C767=1,B767="50% AMI",NOT(M767="Common Space")),E767,"")</f>
        <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t="str">
        <f t="shared" ref="CF767:CF804" si="65">IF(OR(AND(C767=1,B767="50% AMI",NOT(M767="Common Space")),AND(C767=1,B767="HOME 50% AMI",NOT(M767="Common Space"))),E767*F767,"")</f>
        <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t="str">
        <f t="shared" ref="EX767:EX804" si="135">IF(AND($C767=1, NOT(OR($N767="SF Detached",$N767="Mfd Home",$N767="Duplex",$N767="Townhome"))),$E767,"")</f>
        <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60% AMI</v>
      </c>
      <c r="C768" s="2573">
        <f>'Part VI-Revenues &amp; Expenses'!C11</f>
        <v>1</v>
      </c>
      <c r="D768" s="2574">
        <f>'Part VI-Revenues &amp; Expenses'!D11</f>
        <v>1</v>
      </c>
      <c r="E768" s="2575">
        <f>'Part VI-Revenues &amp; Expenses'!E11</f>
        <v>1</v>
      </c>
      <c r="F768" s="2575">
        <f>'Part VI-Revenues &amp; Expenses'!F11</f>
        <v>702</v>
      </c>
      <c r="G768" s="2575">
        <f>'Part VI-Revenues &amp; Expenses'!G11</f>
        <v>784</v>
      </c>
      <c r="H768" s="2575">
        <f>'Part VI-Revenues &amp; Expenses'!H11</f>
        <v>774</v>
      </c>
      <c r="I768" s="2575">
        <f>'Part VI-Revenues &amp; Expenses'!I11</f>
        <v>157</v>
      </c>
      <c r="J768" s="2576">
        <f>'Part VI-Revenues &amp; Expenses'!J11</f>
        <v>0</v>
      </c>
      <c r="K768" s="2577">
        <f t="shared" si="2"/>
        <v>617</v>
      </c>
      <c r="L768" s="2577">
        <f t="shared" si="3"/>
        <v>617</v>
      </c>
      <c r="M768" s="2451" t="str">
        <f>'Part VI-Revenues &amp; Expenses'!M11</f>
        <v>No</v>
      </c>
      <c r="N768" s="2451" t="str">
        <f>'Part VI-Revenues &amp; Expenses'!N11</f>
        <v>3+ Story</v>
      </c>
      <c r="O768" s="2451" t="str">
        <f>'Part VI-Revenues &amp; Expenses'!O11</f>
        <v>New Construction</v>
      </c>
      <c r="P768" s="2557" t="str">
        <f>'Part VI-Revenues &amp; Expenses'!P11</f>
        <v>No</v>
      </c>
      <c r="Q768" s="2578">
        <f>'Part VI-Revenues &amp; Expenses'!Q11</f>
        <v>30960</v>
      </c>
      <c r="R768" s="2579">
        <f>'Part VI-Revenues &amp; Expenses'!R11</f>
        <v>0.59225251076040175</v>
      </c>
      <c r="S768" s="2578">
        <f>'Part VI-Revenues &amp; Expenses'!S11</f>
        <v>0</v>
      </c>
      <c r="T768" s="2579">
        <f>'Part VI-Revenues &amp; Expenses'!T11</f>
        <v>0</v>
      </c>
      <c r="U768" s="2501"/>
      <c r="V768" s="2501"/>
      <c r="W768" s="683" t="str">
        <f t="shared" si="4"/>
        <v/>
      </c>
      <c r="X768" s="683">
        <f t="shared" si="5"/>
        <v>1</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702</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1</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f t="shared" si="135"/>
        <v>1</v>
      </c>
      <c r="EY768" s="2580" t="str">
        <f t="shared" si="136"/>
        <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f t="shared" si="210"/>
        <v>1</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1</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1</v>
      </c>
      <c r="D769" s="2574">
        <f>'Part VI-Revenues &amp; Expenses'!D12</f>
        <v>1</v>
      </c>
      <c r="E769" s="2575">
        <f>'Part VI-Revenues &amp; Expenses'!E12</f>
        <v>5</v>
      </c>
      <c r="F769" s="2575">
        <f>'Part VI-Revenues &amp; Expenses'!F12</f>
        <v>702</v>
      </c>
      <c r="G769" s="2575">
        <f>'Part VI-Revenues &amp; Expenses'!G12</f>
        <v>653</v>
      </c>
      <c r="H769" s="2575">
        <f>'Part VI-Revenues &amp; Expenses'!H12</f>
        <v>643</v>
      </c>
      <c r="I769" s="2575">
        <f>'Part VI-Revenues &amp; Expenses'!I12</f>
        <v>157</v>
      </c>
      <c r="J769" s="2576">
        <f>'Part VI-Revenues &amp; Expenses'!J12</f>
        <v>0</v>
      </c>
      <c r="K769" s="2577">
        <f t="shared" si="2"/>
        <v>486</v>
      </c>
      <c r="L769" s="2577">
        <f t="shared" si="3"/>
        <v>2430</v>
      </c>
      <c r="M769" s="2451" t="str">
        <f>'Part VI-Revenues &amp; Expenses'!M12</f>
        <v>No</v>
      </c>
      <c r="N769" s="2451" t="str">
        <f>'Part VI-Revenues &amp; Expenses'!N12</f>
        <v>3+ Story</v>
      </c>
      <c r="O769" s="2451" t="str">
        <f>'Part VI-Revenues &amp; Expenses'!O12</f>
        <v>New Construction</v>
      </c>
      <c r="P769" s="2557" t="str">
        <f>'Part VI-Revenues &amp; Expenses'!P12</f>
        <v>No</v>
      </c>
      <c r="Q769" s="2578">
        <f>'Part VI-Revenues &amp; Expenses'!Q12</f>
        <v>25720</v>
      </c>
      <c r="R769" s="2579">
        <f>'Part VI-Revenues &amp; Expenses'!R12</f>
        <v>0.49201339072214251</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f t="shared" si="10"/>
        <v>5</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f t="shared" si="65"/>
        <v>3510</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5</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f t="shared" si="135"/>
        <v>5</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f t="shared" si="210"/>
        <v>5</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5</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&lt;&lt;Select&gt;&gt;</v>
      </c>
      <c r="C770" s="2573">
        <f>'Part VI-Revenues &amp; Expenses'!C13</f>
        <v>0</v>
      </c>
      <c r="D770" s="2574">
        <f>'Part VI-Revenues &amp; Expenses'!D13</f>
        <v>0</v>
      </c>
      <c r="E770" s="2575">
        <f>'Part VI-Revenues &amp; Expenses'!E13</f>
        <v>0</v>
      </c>
      <c r="F770" s="2575">
        <f>'Part VI-Revenues &amp; Expenses'!F13</f>
        <v>0</v>
      </c>
      <c r="G770" s="2575">
        <f>'Part VI-Revenues &amp; Expenses'!G13</f>
        <v>0</v>
      </c>
      <c r="H770" s="2575">
        <f>'Part VI-Revenues &amp; Expenses'!H13</f>
        <v>0</v>
      </c>
      <c r="I770" s="2575">
        <f>'Part VI-Revenues &amp; Expenses'!I13</f>
        <v>0</v>
      </c>
      <c r="J770" s="2576">
        <f>'Part VI-Revenues &amp; Expenses'!J13</f>
        <v>0</v>
      </c>
      <c r="K770" s="2577">
        <f t="shared" si="2"/>
        <v>0</v>
      </c>
      <c r="L770" s="2577">
        <f t="shared" si="3"/>
        <v>0</v>
      </c>
      <c r="M770" s="2451">
        <f>'Part VI-Revenues &amp; Expenses'!M13</f>
        <v>0</v>
      </c>
      <c r="N770" s="2451">
        <f>'Part VI-Revenues &amp; Expenses'!N13</f>
        <v>0</v>
      </c>
      <c r="O770" s="2451">
        <f>'Part VI-Revenues &amp; Expenses'!O13</f>
        <v>0</v>
      </c>
      <c r="P770" s="2557">
        <f>'Part VI-Revenues &amp; Expenses'!P13</f>
        <v>0</v>
      </c>
      <c r="Q770" s="2578" t="str">
        <f>'Part VI-Revenues &amp; Expenses'!Q13</f>
        <v/>
      </c>
      <c r="R770" s="2579" t="str">
        <f>'Part VI-Revenues &amp; Expenses'!R13</f>
        <v/>
      </c>
      <c r="S770" s="2578">
        <f>'Part VI-Revenues &amp; Expenses'!S13</f>
        <v>0</v>
      </c>
      <c r="T770" s="2579">
        <f>'Part VI-Revenues &amp; Expenses'!T13</f>
        <v>0</v>
      </c>
      <c r="U770" s="2501"/>
      <c r="V770" s="2501"/>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t="str">
        <f t="shared" si="135"/>
        <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&lt;&lt;Select&gt;&gt;</v>
      </c>
      <c r="C771" s="2573">
        <f>'Part VI-Revenues &amp; Expenses'!C14</f>
        <v>0</v>
      </c>
      <c r="D771" s="2574">
        <f>'Part VI-Revenues &amp; Expenses'!D14</f>
        <v>0</v>
      </c>
      <c r="E771" s="2575">
        <f>'Part VI-Revenues &amp; Expenses'!E14</f>
        <v>0</v>
      </c>
      <c r="F771" s="2575">
        <f>'Part VI-Revenues &amp; Expenses'!F14</f>
        <v>0</v>
      </c>
      <c r="G771" s="2575">
        <f>'Part VI-Revenues &amp; Expenses'!G14</f>
        <v>0</v>
      </c>
      <c r="H771" s="2575">
        <f>'Part VI-Revenues &amp; Expenses'!H14</f>
        <v>0</v>
      </c>
      <c r="I771" s="2575">
        <f>'Part VI-Revenues &amp; Expenses'!I14</f>
        <v>0</v>
      </c>
      <c r="J771" s="2576">
        <f>'Part VI-Revenues &amp; Expenses'!J14</f>
        <v>0</v>
      </c>
      <c r="K771" s="2577">
        <f t="shared" si="2"/>
        <v>0</v>
      </c>
      <c r="L771" s="2577">
        <f t="shared" si="3"/>
        <v>0</v>
      </c>
      <c r="M771" s="2451">
        <f>'Part VI-Revenues &amp; Expenses'!M14</f>
        <v>0</v>
      </c>
      <c r="N771" s="2451">
        <f>'Part VI-Revenues &amp; Expenses'!N14</f>
        <v>0</v>
      </c>
      <c r="O771" s="2451">
        <f>'Part VI-Revenues &amp; Expenses'!O14</f>
        <v>0</v>
      </c>
      <c r="P771" s="2557">
        <f>'Part VI-Revenues &amp; Expenses'!P14</f>
        <v>0</v>
      </c>
      <c r="Q771" s="2578" t="str">
        <f>'Part VI-Revenues &amp; Expenses'!Q14</f>
        <v/>
      </c>
      <c r="R771" s="2579" t="str">
        <f>'Part VI-Revenues &amp; Expenses'!R14</f>
        <v/>
      </c>
      <c r="S771" s="2578">
        <f>'Part VI-Revenues &amp; Expenses'!S14</f>
        <v>0</v>
      </c>
      <c r="T771" s="2579">
        <f>'Part VI-Revenues &amp; Expenses'!T14</f>
        <v>0</v>
      </c>
      <c r="U771" s="2501"/>
      <c r="V771" s="2501"/>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t="str">
        <f t="shared" si="136"/>
        <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&lt;&lt;Select&gt;&gt;</v>
      </c>
      <c r="C772" s="2573">
        <f>'Part VI-Revenues &amp; Expenses'!C15</f>
        <v>0</v>
      </c>
      <c r="D772" s="2574">
        <f>'Part VI-Revenues &amp; Expenses'!D15</f>
        <v>0</v>
      </c>
      <c r="E772" s="2575">
        <f>'Part VI-Revenues &amp; Expenses'!E15</f>
        <v>0</v>
      </c>
      <c r="F772" s="2575">
        <f>'Part VI-Revenues &amp; Expenses'!F15</f>
        <v>0</v>
      </c>
      <c r="G772" s="2575">
        <f>'Part VI-Revenues &amp; Expenses'!G15</f>
        <v>0</v>
      </c>
      <c r="H772" s="2575">
        <f>'Part VI-Revenues &amp; Expenses'!H15</f>
        <v>0</v>
      </c>
      <c r="I772" s="2575">
        <f>'Part VI-Revenues &amp; Expenses'!I15</f>
        <v>0</v>
      </c>
      <c r="J772" s="2576">
        <f>'Part VI-Revenues &amp; Expenses'!J15</f>
        <v>0</v>
      </c>
      <c r="K772" s="2577">
        <f t="shared" si="2"/>
        <v>0</v>
      </c>
      <c r="L772" s="2577">
        <f t="shared" si="3"/>
        <v>0</v>
      </c>
      <c r="M772" s="2451">
        <f>'Part VI-Revenues &amp; Expenses'!M15</f>
        <v>0</v>
      </c>
      <c r="N772" s="2451">
        <f>'Part VI-Revenues &amp; Expenses'!N15</f>
        <v>0</v>
      </c>
      <c r="O772" s="2451">
        <f>'Part VI-Revenues &amp; Expenses'!O15</f>
        <v>0</v>
      </c>
      <c r="P772" s="2557">
        <f>'Part VI-Revenues &amp; Expenses'!P15</f>
        <v>0</v>
      </c>
      <c r="Q772" s="2578" t="str">
        <f>'Part VI-Revenues &amp; Expenses'!Q15</f>
        <v/>
      </c>
      <c r="R772" s="2579" t="str">
        <f>'Part VI-Revenues &amp; Expenses'!R15</f>
        <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Unrestricted</v>
      </c>
      <c r="C774" s="2573">
        <f>'Part VI-Revenues &amp; Expenses'!C17</f>
        <v>2</v>
      </c>
      <c r="D774" s="2574">
        <f>'Part VI-Revenues &amp; Expenses'!D17</f>
        <v>2</v>
      </c>
      <c r="E774" s="2575">
        <f>'Part VI-Revenues &amp; Expenses'!E17</f>
        <v>2</v>
      </c>
      <c r="F774" s="2575">
        <f>'Part VI-Revenues &amp; Expenses'!F17</f>
        <v>974</v>
      </c>
      <c r="G774" s="2575">
        <f>'Part VI-Revenues &amp; Expenses'!G17</f>
        <v>0</v>
      </c>
      <c r="H774" s="2575">
        <f>'Part VI-Revenues &amp; Expenses'!H17</f>
        <v>942</v>
      </c>
      <c r="I774" s="2575">
        <f>'Part VI-Revenues &amp; Expenses'!I17</f>
        <v>0</v>
      </c>
      <c r="J774" s="2576">
        <f>'Part VI-Revenues &amp; Expenses'!J17</f>
        <v>0</v>
      </c>
      <c r="K774" s="2577">
        <f t="shared" si="2"/>
        <v>942</v>
      </c>
      <c r="L774" s="2577">
        <f t="shared" si="3"/>
        <v>1884</v>
      </c>
      <c r="M774" s="2451" t="str">
        <f>'Part VI-Revenues &amp; Expenses'!M17</f>
        <v>No</v>
      </c>
      <c r="N774" s="2451" t="str">
        <f>'Part VI-Revenues &amp; Expenses'!N17</f>
        <v>3+ Story</v>
      </c>
      <c r="O774" s="2451" t="str">
        <f>'Part VI-Revenues &amp; Expenses'!O17</f>
        <v>New Construction</v>
      </c>
      <c r="P774" s="2557" t="str">
        <f>'Part VI-Revenues &amp; Expenses'!P17</f>
        <v>No</v>
      </c>
      <c r="Q774" s="2578">
        <f>'Part VI-Revenues &amp; Expenses'!Q17</f>
        <v>37680</v>
      </c>
      <c r="R774" s="2579">
        <f>'Part VI-Revenues &amp; Expenses'!R17</f>
        <v>0.60066953610712581</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2</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1948</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2</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f t="shared" si="136"/>
        <v>2</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f t="shared" si="211"/>
        <v>2</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2</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60% AMI</v>
      </c>
      <c r="C775" s="2573">
        <f>'Part VI-Revenues &amp; Expenses'!C18</f>
        <v>2</v>
      </c>
      <c r="D775" s="2574">
        <f>'Part VI-Revenues &amp; Expenses'!D18</f>
        <v>2</v>
      </c>
      <c r="E775" s="2575">
        <f>'Part VI-Revenues &amp; Expenses'!E18</f>
        <v>4</v>
      </c>
      <c r="F775" s="2575">
        <f>'Part VI-Revenues &amp; Expenses'!F18</f>
        <v>974</v>
      </c>
      <c r="G775" s="2575">
        <f>'Part VI-Revenues &amp; Expenses'!G18</f>
        <v>942</v>
      </c>
      <c r="H775" s="2575">
        <f>'Part VI-Revenues &amp; Expenses'!H18</f>
        <v>932</v>
      </c>
      <c r="I775" s="2575">
        <f>'Part VI-Revenues &amp; Expenses'!I18</f>
        <v>226</v>
      </c>
      <c r="J775" s="2576">
        <f>'Part VI-Revenues &amp; Expenses'!J18</f>
        <v>0</v>
      </c>
      <c r="K775" s="2577">
        <f t="shared" si="2"/>
        <v>706</v>
      </c>
      <c r="L775" s="2577">
        <f t="shared" si="3"/>
        <v>2824</v>
      </c>
      <c r="M775" s="2451" t="str">
        <f>'Part VI-Revenues &amp; Expenses'!M18</f>
        <v>No</v>
      </c>
      <c r="N775" s="2451" t="str">
        <f>'Part VI-Revenues &amp; Expenses'!N18</f>
        <v>3+ Story</v>
      </c>
      <c r="O775" s="2451" t="str">
        <f>'Part VI-Revenues &amp; Expenses'!O18</f>
        <v>New Construction</v>
      </c>
      <c r="P775" s="2557" t="str">
        <f>'Part VI-Revenues &amp; Expenses'!P18</f>
        <v>No</v>
      </c>
      <c r="Q775" s="2578">
        <f>'Part VI-Revenues &amp; Expenses'!Q18</f>
        <v>37280</v>
      </c>
      <c r="R775" s="2579">
        <f>'Part VI-Revenues &amp; Expenses'!R18</f>
        <v>0.59429300175354693</v>
      </c>
      <c r="S775" s="2578">
        <f>'Part VI-Revenues &amp; Expenses'!S18</f>
        <v>0</v>
      </c>
      <c r="T775" s="2579">
        <f>'Part VI-Revenues &amp; Expenses'!T18</f>
        <v>0</v>
      </c>
      <c r="U775" s="2501"/>
      <c r="V775" s="2501"/>
      <c r="W775" s="683" t="str">
        <f t="shared" si="4"/>
        <v/>
      </c>
      <c r="X775" s="683" t="str">
        <f t="shared" si="5"/>
        <v/>
      </c>
      <c r="Y775" s="683">
        <f t="shared" si="6"/>
        <v>4</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f t="shared" si="61"/>
        <v>3896</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f t="shared" si="91"/>
        <v>4</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f t="shared" si="136"/>
        <v>4</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f t="shared" si="211"/>
        <v>4</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4</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50% AMI</v>
      </c>
      <c r="C776" s="2573">
        <f>'Part VI-Revenues &amp; Expenses'!C19</f>
        <v>2</v>
      </c>
      <c r="D776" s="2574">
        <f>'Part VI-Revenues &amp; Expenses'!D19</f>
        <v>2</v>
      </c>
      <c r="E776" s="2575">
        <f>'Part VI-Revenues &amp; Expenses'!E19</f>
        <v>2</v>
      </c>
      <c r="F776" s="2575">
        <f>'Part VI-Revenues &amp; Expenses'!F19</f>
        <v>974</v>
      </c>
      <c r="G776" s="2575">
        <f>'Part VI-Revenues &amp; Expenses'!G19</f>
        <v>785</v>
      </c>
      <c r="H776" s="2575">
        <f>'Part VI-Revenues &amp; Expenses'!H19</f>
        <v>775</v>
      </c>
      <c r="I776" s="2575">
        <f>'Part VI-Revenues &amp; Expenses'!I19</f>
        <v>226</v>
      </c>
      <c r="J776" s="2576">
        <f>'Part VI-Revenues &amp; Expenses'!J19</f>
        <v>0</v>
      </c>
      <c r="K776" s="2577">
        <f t="shared" si="2"/>
        <v>549</v>
      </c>
      <c r="L776" s="2577">
        <f t="shared" si="3"/>
        <v>1098</v>
      </c>
      <c r="M776" s="2451" t="str">
        <f>'Part VI-Revenues &amp; Expenses'!M19</f>
        <v>No</v>
      </c>
      <c r="N776" s="2451" t="str">
        <f>'Part VI-Revenues &amp; Expenses'!N19</f>
        <v>3+ Story</v>
      </c>
      <c r="O776" s="2451" t="str">
        <f>'Part VI-Revenues &amp; Expenses'!O19</f>
        <v>New Construction</v>
      </c>
      <c r="P776" s="2557" t="str">
        <f>'Part VI-Revenues &amp; Expenses'!P19</f>
        <v>No</v>
      </c>
      <c r="Q776" s="2578">
        <f>'Part VI-Revenues &amp; Expenses'!Q19</f>
        <v>31000</v>
      </c>
      <c r="R776" s="2579">
        <f>'Part VI-Revenues &amp; Expenses'!R19</f>
        <v>0.4941814124023593</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f t="shared" si="11"/>
        <v>2</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f t="shared" si="66"/>
        <v>1948</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f t="shared" si="91"/>
        <v>2</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f t="shared" si="136"/>
        <v>2</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f t="shared" si="211"/>
        <v>2</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2</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Unrestricted</v>
      </c>
      <c r="C781" s="2573">
        <f>'Part VI-Revenues &amp; Expenses'!C24</f>
        <v>3</v>
      </c>
      <c r="D781" s="2574">
        <f>'Part VI-Revenues &amp; Expenses'!D24</f>
        <v>2</v>
      </c>
      <c r="E781" s="2575">
        <f>'Part VI-Revenues &amp; Expenses'!E24</f>
        <v>6</v>
      </c>
      <c r="F781" s="2575">
        <f>'Part VI-Revenues &amp; Expenses'!F24</f>
        <v>1115</v>
      </c>
      <c r="G781" s="2575">
        <f>'Part VI-Revenues &amp; Expenses'!G24</f>
        <v>0</v>
      </c>
      <c r="H781" s="2575">
        <f>'Part VI-Revenues &amp; Expenses'!H24</f>
        <v>1087</v>
      </c>
      <c r="I781" s="2575">
        <f>'Part VI-Revenues &amp; Expenses'!I24</f>
        <v>0</v>
      </c>
      <c r="J781" s="2576">
        <f>'Part VI-Revenues &amp; Expenses'!J24</f>
        <v>0</v>
      </c>
      <c r="K781" s="2577">
        <f t="shared" si="2"/>
        <v>1087</v>
      </c>
      <c r="L781" s="2577">
        <f t="shared" si="3"/>
        <v>6522</v>
      </c>
      <c r="M781" s="2451" t="str">
        <f>'Part VI-Revenues &amp; Expenses'!M24</f>
        <v>No</v>
      </c>
      <c r="N781" s="2451" t="str">
        <f>'Part VI-Revenues &amp; Expenses'!N24</f>
        <v>3+ Story</v>
      </c>
      <c r="O781" s="2451" t="str">
        <f>'Part VI-Revenues &amp; Expenses'!O24</f>
        <v>New Construction</v>
      </c>
      <c r="P781" s="2557" t="str">
        <f>'Part VI-Revenues &amp; Expenses'!P24</f>
        <v>No</v>
      </c>
      <c r="Q781" s="2578">
        <f>'Part VI-Revenues &amp; Expenses'!Q24</f>
        <v>43480</v>
      </c>
      <c r="R781" s="2579">
        <f>'Part VI-Revenues &amp; Expenses'!R24</f>
        <v>0.59982341904867009</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f t="shared" si="22"/>
        <v>6</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f t="shared" si="77"/>
        <v>6690</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f t="shared" si="97"/>
        <v>6</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f t="shared" si="137"/>
        <v>6</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f t="shared" si="212"/>
        <v>6</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6</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60% AMI</v>
      </c>
      <c r="C782" s="2573">
        <f>'Part VI-Revenues &amp; Expenses'!C25</f>
        <v>3</v>
      </c>
      <c r="D782" s="2574">
        <f>'Part VI-Revenues &amp; Expenses'!D25</f>
        <v>2</v>
      </c>
      <c r="E782" s="2575">
        <f>'Part VI-Revenues &amp; Expenses'!E25</f>
        <v>23</v>
      </c>
      <c r="F782" s="2575">
        <f>'Part VI-Revenues &amp; Expenses'!F25</f>
        <v>1115</v>
      </c>
      <c r="G782" s="2575">
        <f>'Part VI-Revenues &amp; Expenses'!G25</f>
        <v>1087</v>
      </c>
      <c r="H782" s="2575">
        <f>'Part VI-Revenues &amp; Expenses'!H25</f>
        <v>1077</v>
      </c>
      <c r="I782" s="2575">
        <f>'Part VI-Revenues &amp; Expenses'!I25</f>
        <v>300</v>
      </c>
      <c r="J782" s="2576">
        <f>'Part VI-Revenues &amp; Expenses'!J25</f>
        <v>0</v>
      </c>
      <c r="K782" s="2577">
        <f t="shared" si="2"/>
        <v>777</v>
      </c>
      <c r="L782" s="2577">
        <f t="shared" si="3"/>
        <v>17871</v>
      </c>
      <c r="M782" s="2451" t="str">
        <f>'Part VI-Revenues &amp; Expenses'!M25</f>
        <v>No</v>
      </c>
      <c r="N782" s="2451" t="str">
        <f>'Part VI-Revenues &amp; Expenses'!N25</f>
        <v>3+ Story</v>
      </c>
      <c r="O782" s="2451" t="str">
        <f>'Part VI-Revenues &amp; Expenses'!O25</f>
        <v>New Construction</v>
      </c>
      <c r="P782" s="2557" t="str">
        <f>'Part VI-Revenues &amp; Expenses'!P25</f>
        <v>No</v>
      </c>
      <c r="Q782" s="2578">
        <f>'Part VI-Revenues &amp; Expenses'!Q25</f>
        <v>43080</v>
      </c>
      <c r="R782" s="2579">
        <f>'Part VI-Revenues &amp; Expenses'!R25</f>
        <v>0.5943052643196115</v>
      </c>
      <c r="S782" s="2578">
        <f>'Part VI-Revenues &amp; Expenses'!S25</f>
        <v>0</v>
      </c>
      <c r="T782" s="2579">
        <f>'Part VI-Revenues &amp; Expenses'!T25</f>
        <v>0</v>
      </c>
      <c r="U782" s="2501"/>
      <c r="V782" s="2501"/>
      <c r="W782" s="683" t="str">
        <f t="shared" si="4"/>
        <v/>
      </c>
      <c r="X782" s="683" t="str">
        <f t="shared" si="5"/>
        <v/>
      </c>
      <c r="Y782" s="683" t="str">
        <f t="shared" si="6"/>
        <v/>
      </c>
      <c r="Z782" s="683">
        <f t="shared" si="7"/>
        <v>23</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f t="shared" si="62"/>
        <v>25645</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f t="shared" si="92"/>
        <v>23</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f t="shared" si="137"/>
        <v>23</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f t="shared" si="212"/>
        <v>23</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23</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50% AMI</v>
      </c>
      <c r="C783" s="2573">
        <f>'Part VI-Revenues &amp; Expenses'!C26</f>
        <v>3</v>
      </c>
      <c r="D783" s="2574">
        <f>'Part VI-Revenues &amp; Expenses'!D26</f>
        <v>2</v>
      </c>
      <c r="E783" s="2575">
        <f>'Part VI-Revenues &amp; Expenses'!E26</f>
        <v>5</v>
      </c>
      <c r="F783" s="2575">
        <f>'Part VI-Revenues &amp; Expenses'!F26</f>
        <v>1115</v>
      </c>
      <c r="G783" s="2575">
        <f>'Part VI-Revenues &amp; Expenses'!G26</f>
        <v>906</v>
      </c>
      <c r="H783" s="2575">
        <f>'Part VI-Revenues &amp; Expenses'!H26</f>
        <v>896</v>
      </c>
      <c r="I783" s="2575">
        <f>'Part VI-Revenues &amp; Expenses'!I26</f>
        <v>300</v>
      </c>
      <c r="J783" s="2576">
        <f>'Part VI-Revenues &amp; Expenses'!J26</f>
        <v>0</v>
      </c>
      <c r="K783" s="2577">
        <f t="shared" si="2"/>
        <v>596</v>
      </c>
      <c r="L783" s="2577">
        <f t="shared" si="3"/>
        <v>2980</v>
      </c>
      <c r="M783" s="2451" t="str">
        <f>'Part VI-Revenues &amp; Expenses'!M26</f>
        <v>No</v>
      </c>
      <c r="N783" s="2451" t="str">
        <f>'Part VI-Revenues &amp; Expenses'!N26</f>
        <v>3+ Story</v>
      </c>
      <c r="O783" s="2451" t="str">
        <f>'Part VI-Revenues &amp; Expenses'!O26</f>
        <v>New Construction</v>
      </c>
      <c r="P783" s="2557" t="str">
        <f>'Part VI-Revenues &amp; Expenses'!P26</f>
        <v>No</v>
      </c>
      <c r="Q783" s="2578">
        <f>'Part VI-Revenues &amp; Expenses'!Q26</f>
        <v>35840</v>
      </c>
      <c r="R783" s="2579">
        <f>'Part VI-Revenues &amp; Expenses'!R26</f>
        <v>0.49442666372365079</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f t="shared" si="12"/>
        <v>5</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f t="shared" si="67"/>
        <v>5575</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f t="shared" si="92"/>
        <v>5</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f t="shared" si="137"/>
        <v>5</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f t="shared" si="212"/>
        <v>5</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5</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48</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49914</v>
      </c>
      <c r="G805" s="479"/>
      <c r="H805" s="479"/>
      <c r="I805" s="479"/>
      <c r="J805" s="479"/>
      <c r="K805" s="2584" t="s">
        <v>1314</v>
      </c>
      <c r="L805" s="2582">
        <f>SUM(L767:L804)</f>
        <v>36226</v>
      </c>
      <c r="M805" s="2355"/>
      <c r="N805" s="2355"/>
      <c r="O805" s="2355"/>
      <c r="P805" s="2355"/>
      <c r="Q805" s="2355"/>
      <c r="R805" s="2355"/>
      <c r="S805" s="2355"/>
      <c r="T805" s="2355"/>
      <c r="U805" s="2562"/>
      <c r="V805" s="2585"/>
      <c r="W805" s="2585">
        <f t="shared" ref="W805:CH805" si="259">SUM(W767:W804)</f>
        <v>0</v>
      </c>
      <c r="X805" s="2585">
        <f t="shared" si="259"/>
        <v>1</v>
      </c>
      <c r="Y805" s="2585">
        <f t="shared" si="259"/>
        <v>4</v>
      </c>
      <c r="Z805" s="2585">
        <f t="shared" si="259"/>
        <v>23</v>
      </c>
      <c r="AA805" s="2585">
        <f t="shared" si="259"/>
        <v>0</v>
      </c>
      <c r="AB805" s="2585">
        <f t="shared" si="259"/>
        <v>0</v>
      </c>
      <c r="AC805" s="2585">
        <f t="shared" si="259"/>
        <v>5</v>
      </c>
      <c r="AD805" s="2585">
        <f t="shared" si="259"/>
        <v>2</v>
      </c>
      <c r="AE805" s="2585">
        <f t="shared" si="259"/>
        <v>5</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2</v>
      </c>
      <c r="AO805" s="2585">
        <f t="shared" si="259"/>
        <v>6</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702</v>
      </c>
      <c r="CB805" s="2585">
        <f t="shared" si="259"/>
        <v>3896</v>
      </c>
      <c r="CC805" s="2585">
        <f t="shared" si="259"/>
        <v>25645</v>
      </c>
      <c r="CD805" s="2585">
        <f t="shared" si="259"/>
        <v>0</v>
      </c>
      <c r="CE805" s="2585">
        <f t="shared" si="259"/>
        <v>0</v>
      </c>
      <c r="CF805" s="2585">
        <f t="shared" si="259"/>
        <v>3510</v>
      </c>
      <c r="CG805" s="2585">
        <f t="shared" si="259"/>
        <v>1948</v>
      </c>
      <c r="CH805" s="2585">
        <f t="shared" si="259"/>
        <v>5575</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1948</v>
      </c>
      <c r="CR805" s="2585">
        <f t="shared" si="260"/>
        <v>6690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6</v>
      </c>
      <c r="DF805" s="2585">
        <f t="shared" si="260"/>
        <v>6</v>
      </c>
      <c r="DG805" s="2585">
        <f t="shared" si="260"/>
        <v>28</v>
      </c>
      <c r="DH805" s="2585">
        <f t="shared" si="260"/>
        <v>0</v>
      </c>
      <c r="DI805" s="2585">
        <f t="shared" si="260"/>
        <v>0</v>
      </c>
      <c r="DJ805" s="2585">
        <f t="shared" si="260"/>
        <v>0</v>
      </c>
      <c r="DK805" s="2585">
        <f t="shared" si="260"/>
        <v>2</v>
      </c>
      <c r="DL805" s="2585">
        <f t="shared" si="260"/>
        <v>6</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6</v>
      </c>
      <c r="EY805" s="2585">
        <f t="shared" si="261"/>
        <v>8</v>
      </c>
      <c r="EZ805" s="2585">
        <f t="shared" si="261"/>
        <v>34</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6</v>
      </c>
      <c r="HV805" s="2585">
        <f t="shared" si="262"/>
        <v>8</v>
      </c>
      <c r="HW805" s="2585">
        <f t="shared" si="262"/>
        <v>34</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6</v>
      </c>
      <c r="JJ805" s="2585">
        <f t="shared" si="262"/>
        <v>8</v>
      </c>
      <c r="JK805" s="2585">
        <f t="shared" si="262"/>
        <v>34</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434712</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4784</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1</v>
      </c>
      <c r="L813" s="2591">
        <f>Y805</f>
        <v>4</v>
      </c>
      <c r="M813" s="2591">
        <f>Z805</f>
        <v>23</v>
      </c>
      <c r="N813" s="2591">
        <f>AA805</f>
        <v>0</v>
      </c>
      <c r="O813" s="2591">
        <f t="shared" ref="O813:O819" si="263">SUM(J813:N813)</f>
        <v>28</v>
      </c>
      <c r="P813" s="2518" t="s">
        <v>3695</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5</v>
      </c>
      <c r="L814" s="2591">
        <f>AD805</f>
        <v>2</v>
      </c>
      <c r="M814" s="2591">
        <f>AE805</f>
        <v>5</v>
      </c>
      <c r="N814" s="2591">
        <f>AF805</f>
        <v>0</v>
      </c>
      <c r="O814" s="2591">
        <f t="shared" si="263"/>
        <v>12</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6</v>
      </c>
      <c r="L815" s="2591">
        <f>SUM(L813:L814)</f>
        <v>6</v>
      </c>
      <c r="M815" s="2591">
        <f>SUM(M813:M814)</f>
        <v>28</v>
      </c>
      <c r="N815" s="2591">
        <f>SUM(N813:N814)</f>
        <v>0</v>
      </c>
      <c r="O815" s="2591">
        <f t="shared" si="263"/>
        <v>40</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2</v>
      </c>
      <c r="M816" s="2591">
        <f>AO805</f>
        <v>6</v>
      </c>
      <c r="N816" s="2591">
        <f>AP805</f>
        <v>0</v>
      </c>
      <c r="O816" s="2591">
        <f t="shared" si="263"/>
        <v>8</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6</v>
      </c>
      <c r="L817" s="2591">
        <f>SUM(L815:L816)</f>
        <v>8</v>
      </c>
      <c r="M817" s="2591">
        <f>SUM(M815:M816)</f>
        <v>34</v>
      </c>
      <c r="N817" s="2591">
        <f>SUM(N815:N816)</f>
        <v>0</v>
      </c>
      <c r="O817" s="2591">
        <f t="shared" si="263"/>
        <v>48</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3696</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6</v>
      </c>
      <c r="L819" s="2591">
        <f>SUM(L817:L818)</f>
        <v>8</v>
      </c>
      <c r="M819" s="2591">
        <f>SUM(M817:M818)</f>
        <v>34</v>
      </c>
      <c r="N819" s="2591">
        <f>SUM(N817:N818)</f>
        <v>0</v>
      </c>
      <c r="O819" s="2591">
        <f t="shared" si="263"/>
        <v>48</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6</v>
      </c>
      <c r="L829" s="2591">
        <f>DF805</f>
        <v>6</v>
      </c>
      <c r="M829" s="2591">
        <f>DG805</f>
        <v>28</v>
      </c>
      <c r="N829" s="2591">
        <f>DH805</f>
        <v>0</v>
      </c>
      <c r="O829" s="2591">
        <f t="shared" ref="O829:O839" si="264">SUM(J829:N829)</f>
        <v>40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2</v>
      </c>
      <c r="M830" s="2591">
        <f>DL805</f>
        <v>6</v>
      </c>
      <c r="N830" s="2591">
        <f>DM805</f>
        <v>0</v>
      </c>
      <c r="O830" s="2591">
        <f t="shared" si="264"/>
        <v>8</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6</v>
      </c>
      <c r="L831" s="2591">
        <f>SUM(L829:L830)+DP805</f>
        <v>8</v>
      </c>
      <c r="M831" s="2591">
        <f>SUM(M829:M830)+DQ805</f>
        <v>34</v>
      </c>
      <c r="N831" s="2591">
        <f>SUM(N829:N830)+DR805</f>
        <v>0</v>
      </c>
      <c r="O831" s="2591">
        <f t="shared" si="264"/>
        <v>48</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4545</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3379</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4785</v>
      </c>
      <c r="D843" s="2501"/>
      <c r="E843" s="2556" t="s">
        <v>40</v>
      </c>
      <c r="F843" s="2355"/>
      <c r="G843" s="2357"/>
      <c r="J843" s="2591">
        <f t="shared" ref="J843:O843" si="265">SUM(J844:J851)</f>
        <v>0</v>
      </c>
      <c r="K843" s="2591">
        <f t="shared" si="265"/>
        <v>6</v>
      </c>
      <c r="L843" s="2591">
        <f t="shared" si="265"/>
        <v>8</v>
      </c>
      <c r="M843" s="2591">
        <f t="shared" si="265"/>
        <v>34</v>
      </c>
      <c r="N843" s="2591">
        <f t="shared" si="265"/>
        <v>0</v>
      </c>
      <c r="O843" s="2591">
        <f t="shared" si="265"/>
        <v>48</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3379</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3379</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3379</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6</v>
      </c>
      <c r="L850" s="2591">
        <f>HV805</f>
        <v>8</v>
      </c>
      <c r="M850" s="2591">
        <f>HW805</f>
        <v>34</v>
      </c>
      <c r="N850" s="2591">
        <f>HX805</f>
        <v>0</v>
      </c>
      <c r="O850" s="2591">
        <f t="shared" si="266"/>
        <v>48</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3379</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3379</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3379</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3379</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3379</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4786</v>
      </c>
      <c r="D861" s="2501"/>
      <c r="E861" s="2556" t="s">
        <v>3374</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3379</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3375</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3379</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3376</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3379</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3377</v>
      </c>
      <c r="F867" s="2357"/>
      <c r="H867" s="2598"/>
      <c r="J867" s="2591">
        <f>J846+J850</f>
        <v>0</v>
      </c>
      <c r="K867" s="2591">
        <f t="shared" ref="K867:N868" si="271">K846+K850</f>
        <v>6</v>
      </c>
      <c r="L867" s="2591">
        <f t="shared" si="271"/>
        <v>8</v>
      </c>
      <c r="M867" s="2591">
        <f t="shared" si="271"/>
        <v>34</v>
      </c>
      <c r="N867" s="2591">
        <f t="shared" si="271"/>
        <v>0</v>
      </c>
      <c r="O867" s="2591">
        <f t="shared" si="268"/>
        <v>48</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3379</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702</v>
      </c>
      <c r="L870" s="2604">
        <f>CB805</f>
        <v>3896</v>
      </c>
      <c r="M870" s="2604">
        <f>CC805</f>
        <v>25645</v>
      </c>
      <c r="N870" s="2604">
        <f>CD805</f>
        <v>0</v>
      </c>
      <c r="O870" s="2604">
        <f t="shared" ref="O870:O876" si="272">SUM(J870:N870)</f>
        <v>30243</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3510</v>
      </c>
      <c r="L871" s="2604">
        <f>CG805</f>
        <v>1948</v>
      </c>
      <c r="M871" s="2604">
        <f>CH805</f>
        <v>5575</v>
      </c>
      <c r="N871" s="2604">
        <f>CI805</f>
        <v>0</v>
      </c>
      <c r="O871" s="2604">
        <f t="shared" si="272"/>
        <v>11033</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4212</v>
      </c>
      <c r="L872" s="2604">
        <f>SUM(L870:L871)</f>
        <v>5844</v>
      </c>
      <c r="M872" s="2604">
        <f>SUM(M870:M871)</f>
        <v>31220</v>
      </c>
      <c r="N872" s="2604">
        <f>SUM(N870:N871)</f>
        <v>0</v>
      </c>
      <c r="O872" s="2604">
        <f t="shared" si="272"/>
        <v>41276</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1948</v>
      </c>
      <c r="M873" s="2604">
        <f>CR805</f>
        <v>6690</v>
      </c>
      <c r="N873" s="2604">
        <f>CS805</f>
        <v>0</v>
      </c>
      <c r="O873" s="2604">
        <f t="shared" si="272"/>
        <v>8638</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4212</v>
      </c>
      <c r="L874" s="2604">
        <f>SUM(L872:L873)</f>
        <v>7792</v>
      </c>
      <c r="M874" s="2604">
        <f>SUM(M872:M873)</f>
        <v>37910</v>
      </c>
      <c r="N874" s="2604">
        <f>SUM(N872:N873)</f>
        <v>0</v>
      </c>
      <c r="O874" s="2604">
        <f t="shared" si="272"/>
        <v>49914</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4212</v>
      </c>
      <c r="L876" s="2604">
        <f>SUM(L874:L875)</f>
        <v>7792</v>
      </c>
      <c r="M876" s="2604">
        <f>SUM(M874:M875)</f>
        <v>37910</v>
      </c>
      <c r="N876" s="2604">
        <f>SUM(N874:N875)</f>
        <v>0</v>
      </c>
      <c r="O876" s="2604">
        <f t="shared" si="272"/>
        <v>49914</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4.1" customHeight="1">
      <c r="A877" s="2547" t="s">
        <v>750</v>
      </c>
      <c r="B877" s="2547" t="s">
        <v>4787</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8694.24</v>
      </c>
      <c r="I879" s="2606">
        <f>'Part VI-Revenues &amp; Expenses'!I122</f>
        <v>0</v>
      </c>
      <c r="J879" s="1330"/>
      <c r="K879" s="2607" t="s">
        <v>4788</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4789</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4790</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4789</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4790</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4789</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4790</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4789</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4790</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3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39914.5</v>
      </c>
      <c r="G921" s="2604">
        <f>'Part VI-Revenues &amp; Expenses'!G164</f>
        <v>0</v>
      </c>
      <c r="I921" s="2355" t="s">
        <v>1390</v>
      </c>
      <c r="K921" s="2604">
        <f>'Part VI-Revenues &amp; Expenses'!K164</f>
        <v>0</v>
      </c>
      <c r="L921" s="2604">
        <f>'Part VI-Revenues &amp; Expenses'!L164</f>
        <v>0</v>
      </c>
      <c r="N921" s="2355" t="s">
        <v>938</v>
      </c>
      <c r="P921" s="2615">
        <f>'Part VI-Revenues &amp; Expenses'!P164</f>
        <v>38700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38456.5</v>
      </c>
      <c r="G922" s="2604">
        <f>'Part VI-Revenues &amp; Expenses'!G165</f>
        <v>0</v>
      </c>
      <c r="I922" s="2355" t="s">
        <v>1391</v>
      </c>
      <c r="K922" s="2604">
        <f>'Part VI-Revenues &amp; Expenses'!K165</f>
        <v>0</v>
      </c>
      <c r="L922" s="2604">
        <f>'Part VI-Revenues &amp; Expenses'!L165</f>
        <v>0</v>
      </c>
      <c r="N922" s="2355" t="s">
        <v>148</v>
      </c>
      <c r="P922" s="2615">
        <f>'Part VI-Revenues &amp; Expenses'!P165</f>
        <v>24000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20000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Health Services Coordinator</v>
      </c>
      <c r="C924" s="478">
        <f>'Part VI-Revenues &amp; Expenses'!C167</f>
        <v>0</v>
      </c>
      <c r="D924" s="478">
        <f>'Part VI-Revenues &amp; Expenses'!D167</f>
        <v>0</v>
      </c>
      <c r="E924" s="478">
        <f>'Part VI-Revenues &amp; Expenses'!E167</f>
        <v>0</v>
      </c>
      <c r="F924" s="2604">
        <f>'Part VI-Revenues &amp; Expenses'!F167</f>
        <v>8320</v>
      </c>
      <c r="G924" s="2604">
        <f>'Part VI-Revenues &amp; Expenses'!G167</f>
        <v>0</v>
      </c>
      <c r="N924" s="2621" t="s">
        <v>193</v>
      </c>
      <c r="P924" s="2615">
        <f>SUM(P921:P923)</f>
        <v>62700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106691</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35" customHeight="1">
      <c r="B927" s="2544" t="s">
        <v>1303</v>
      </c>
      <c r="D927" s="2623"/>
      <c r="I927" s="2544" t="s">
        <v>1304</v>
      </c>
      <c r="N927" s="2544" t="s">
        <v>1392</v>
      </c>
      <c r="P927" s="2624">
        <f>IF(OR('Part VII-Pro Forma'!$B$20 = "Choose Mgt Fee",'Part VII-Pro Forma'!$B$20 = "Choose One!"), 0,- 'Part VII-Pro Forma'!$B$20)</f>
        <v>20618</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2800</v>
      </c>
      <c r="G928" s="2604">
        <f>'Part VI-Revenues &amp; Expenses'!G171</f>
        <v>0</v>
      </c>
      <c r="I928" s="2355" t="s">
        <v>1614</v>
      </c>
      <c r="K928" s="2615">
        <f>'Part VI-Revenues &amp; Expenses'!K171</f>
        <v>1000</v>
      </c>
      <c r="L928" s="2615">
        <f>'Part VI-Revenues &amp; Expenses'!L171</f>
        <v>0</v>
      </c>
      <c r="N928" s="2625">
        <f>+P927/(O819*0.93)</f>
        <v>461.87275985663081</v>
      </c>
      <c r="O928" s="2626" t="s">
        <v>2775</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3300</v>
      </c>
      <c r="G929" s="2604">
        <f>'Part VI-Revenues &amp; Expenses'!G172</f>
        <v>0</v>
      </c>
      <c r="I929" s="2355" t="s">
        <v>2065</v>
      </c>
      <c r="K929" s="2615">
        <f>'Part VI-Revenues &amp; Expenses'!K172</f>
        <v>8000</v>
      </c>
      <c r="L929" s="2615">
        <f>'Part VI-Revenues &amp; Expenses'!L172</f>
        <v>0</v>
      </c>
      <c r="N929" s="2625">
        <f>+P927/(O819*0.93)/12</f>
        <v>38.489396654719236</v>
      </c>
      <c r="O929" s="2626" t="s">
        <v>2776</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1000</v>
      </c>
      <c r="G930" s="2604">
        <f>'Part VI-Revenues &amp; Expenses'!G173</f>
        <v>0</v>
      </c>
      <c r="I930" s="2355" t="s">
        <v>1615</v>
      </c>
      <c r="K930" s="2615">
        <f>'Part VI-Revenues &amp; Expenses'!K173</f>
        <v>1200</v>
      </c>
      <c r="L930" s="2615">
        <f>'Part VI-Revenues &amp; Expenses'!L173</f>
        <v>0</v>
      </c>
      <c r="N930" s="478" t="s">
        <v>3755</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0</v>
      </c>
      <c r="G931" s="2604">
        <f>'Part VI-Revenues &amp; Expenses'!G174</f>
        <v>0</v>
      </c>
      <c r="I931" s="2622" t="str">
        <f>'Part VI-Revenues &amp; Expenses'!I174</f>
        <v>Invest Atlanta Fees</v>
      </c>
      <c r="J931" s="2622">
        <f>'Part VI-Revenues &amp; Expenses'!J174</f>
        <v>0</v>
      </c>
      <c r="K931" s="2615">
        <f>'Part VI-Revenues &amp; Expenses'!K174</f>
        <v>2500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0</v>
      </c>
      <c r="G932" s="2604">
        <f>'Part VI-Revenues &amp; Expenses'!G175</f>
        <v>0</v>
      </c>
      <c r="I932" s="2544"/>
      <c r="J932" s="2621" t="s">
        <v>193</v>
      </c>
      <c r="K932" s="2615">
        <f>SUM(K928:K931)</f>
        <v>12700</v>
      </c>
      <c r="L932" s="2615"/>
      <c r="M932" s="2628" t="str">
        <f>IF(P934="","",IF(P932&lt;P934, "WARNING! OE below required minimum.",""))</f>
        <v/>
      </c>
      <c r="N932" s="2544" t="s">
        <v>2202</v>
      </c>
      <c r="P932" s="2615">
        <f>F925+F934+F945+K923+K932+K942+P924+P927</f>
        <v>258909</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2777</v>
      </c>
      <c r="O933" s="2625">
        <f>+P932/O819</f>
        <v>5393.9375</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7100</v>
      </c>
      <c r="G934" s="2604"/>
      <c r="J934" s="2591"/>
      <c r="M934" s="2628"/>
      <c r="O934" s="2626" t="s">
        <v>3756</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2774</v>
      </c>
      <c r="N936" s="2544" t="s">
        <v>3505</v>
      </c>
      <c r="O936" s="2544"/>
      <c r="P936" s="2629">
        <f>'Part VI-Revenues &amp; Expenses'!P179</f>
        <v>12000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3600</v>
      </c>
      <c r="G937" s="2604">
        <f>'Part VI-Revenues &amp; Expenses'!G180</f>
        <v>0</v>
      </c>
      <c r="I937" s="2355" t="s">
        <v>1380</v>
      </c>
      <c r="J937" s="2417">
        <f>K937/12/O819</f>
        <v>12.5</v>
      </c>
      <c r="K937" s="2615">
        <f>'Part VI-Revenues &amp; Expenses'!K180</f>
        <v>7200</v>
      </c>
      <c r="L937" s="2615">
        <f>'Part VI-Revenues &amp; Expenses'!L180</f>
        <v>0</v>
      </c>
      <c r="M937" s="2628" t="str">
        <f>IF(P936&lt;P945, "WARNING! RR proposed is below the DCA required minimum.","")</f>
        <v/>
      </c>
      <c r="N937" s="478" t="s">
        <v>3764</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0</v>
      </c>
      <c r="G938" s="2604">
        <f>'Part VI-Revenues &amp; Expenses'!G181</f>
        <v>0</v>
      </c>
      <c r="I938" s="2355" t="s">
        <v>1381</v>
      </c>
      <c r="J938" s="2417">
        <f>K938/12/O819</f>
        <v>0</v>
      </c>
      <c r="K938" s="2615">
        <f>'Part VI-Revenues &amp; Expenses'!K181</f>
        <v>0</v>
      </c>
      <c r="L938" s="2615">
        <f>'Part VI-Revenues &amp; Expenses'!L181</f>
        <v>0</v>
      </c>
      <c r="M938" s="2628"/>
      <c r="N938" s="2631" t="s">
        <v>3763</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14000</v>
      </c>
      <c r="G939" s="2604">
        <f>'Part VI-Revenues &amp; Expenses'!G182</f>
        <v>0</v>
      </c>
      <c r="I939" s="2355" t="s">
        <v>2368</v>
      </c>
      <c r="J939" s="2417">
        <f>K939/12/O819</f>
        <v>10.416666666666666</v>
      </c>
      <c r="K939" s="2615">
        <f>'Part VI-Revenues &amp; Expenses'!K182</f>
        <v>6000</v>
      </c>
      <c r="L939" s="2615">
        <f>'Part VI-Revenues &amp; Expenses'!L182</f>
        <v>0</v>
      </c>
      <c r="M939" s="2628"/>
      <c r="N939" s="2632" t="s">
        <v>2733</v>
      </c>
      <c r="O939" s="2633" t="s">
        <v>3877</v>
      </c>
      <c r="P939" s="2633" t="s">
        <v>3460</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1400</v>
      </c>
      <c r="G940" s="2604">
        <f>'Part VI-Revenues &amp; Expenses'!G183</f>
        <v>0</v>
      </c>
      <c r="I940" s="2355" t="s">
        <v>1383</v>
      </c>
      <c r="K940" s="2615">
        <f>'Part VI-Revenues &amp; Expenses'!K183</f>
        <v>4200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3452</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7000</v>
      </c>
      <c r="G942" s="2604">
        <f>'Part VI-Revenues &amp; Expenses'!G185</f>
        <v>0</v>
      </c>
      <c r="J942" s="2621" t="s">
        <v>193</v>
      </c>
      <c r="K942" s="2615">
        <f>SUM(K937:K941)</f>
        <v>17400</v>
      </c>
      <c r="L942" s="2615"/>
      <c r="M942" s="2628"/>
      <c r="N942" s="2357" t="s">
        <v>3451</v>
      </c>
      <c r="O942" s="2635" t="str">
        <f>CONCATENATE(SUM(JH805:JL805)," units x $",'DCA Underwriting Assumptions'!$Q$66," =")</f>
        <v>48 units x $250 =</v>
      </c>
      <c r="P942" s="2635">
        <f>SUM(JH805:JL805)*'DCA Underwriting Assumptions'!$Q$66</f>
        <v>12000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3200</v>
      </c>
      <c r="G943" s="2604">
        <f>'Part VI-Revenues &amp; Expenses'!G186</f>
        <v>0</v>
      </c>
      <c r="J943" s="2591"/>
      <c r="M943" s="2628"/>
      <c r="N943" s="2474" t="s">
        <v>3455</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Supplies</v>
      </c>
      <c r="C944" s="478">
        <f>'Part VI-Revenues &amp; Expenses'!C187</f>
        <v>0</v>
      </c>
      <c r="D944" s="478">
        <f>'Part VI-Revenues &amp; Expenses'!D187</f>
        <v>0</v>
      </c>
      <c r="E944" s="478">
        <f>'Part VI-Revenues &amp; Expenses'!E187</f>
        <v>0</v>
      </c>
      <c r="F944" s="2604">
        <f>'Part VI-Revenues &amp; Expenses'!F187</f>
        <v>2500</v>
      </c>
      <c r="G944" s="2604">
        <f>'Part VI-Revenues &amp; Expenses'!G187</f>
        <v>0</v>
      </c>
      <c r="J944" s="2591"/>
      <c r="N944" s="2474" t="s">
        <v>3450</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31700</v>
      </c>
      <c r="G945" s="2604"/>
      <c r="J945" s="2591"/>
      <c r="N945" s="2584" t="s">
        <v>2736</v>
      </c>
      <c r="O945" s="2578">
        <f>SUM(JC805:JG805)+SUM(JH805:JL805)+SUM(JM805:JQ805)+O841</f>
        <v>48</v>
      </c>
      <c r="P945" s="2636">
        <f>SUM(P941:P944)</f>
        <v>12000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270909</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4155</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Insurance expense provided by insurance company.</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4154</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2018-046 Abbington on Cheshire Bridge,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4791</v>
      </c>
    </row>
    <row r="961" spans="1:19" ht="12.75" customHeight="1">
      <c r="A961" s="683" t="s">
        <v>2204</v>
      </c>
      <c r="B961" s="2637">
        <v>0.02</v>
      </c>
      <c r="D961" s="2501" t="s">
        <v>4792</v>
      </c>
      <c r="E961" s="2501"/>
      <c r="F961" s="2501"/>
      <c r="G961" s="2638">
        <f>'Part VII-Pro Forma'!G5</f>
        <v>7100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f>'Part VII-Pro Forma'!G8</f>
        <v>0</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0.05</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434712</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4239</v>
      </c>
    </row>
    <row r="971" spans="1:19">
      <c r="A971" s="683" t="s">
        <v>1026</v>
      </c>
      <c r="B971" s="2646">
        <f>MIN(B970*B965,'Part VI-Revenues &amp; Expenses'!$H$122)</f>
        <v>8694.24</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3913</v>
      </c>
      <c r="R972" s="683" t="s">
        <v>4238</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-238291</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22025</v>
      </c>
      <c r="S975" s="683">
        <v>22024.747891876214</v>
      </c>
    </row>
    <row r="976" spans="1:19">
      <c r="A976" s="683" t="s">
        <v>1125</v>
      </c>
      <c r="B976" s="2646">
        <f>IF(AND('Part VII-Pro Forma'!$G$8="Yes",'Part VII-Pro Forma'!$G$9="Yes"),"Choose One!",IF('Part VII-Pro Forma'!$G$8="Yes",ROUND((-$K$8*(1+'Part VII-Pro Forma'!$B$6)^('Part VII-Pro Forma'!B969-1)),),IF('Part VII-Pro Forma'!$G$9="Yes",ROUND((-(SUM(B970:B973)*'Part VII-Pro Forma'!$K$9)),),"Choose mgt fee")))</f>
        <v>-22170</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44237</v>
      </c>
      <c r="S976" s="683">
        <v>44237.121847752409</v>
      </c>
    </row>
    <row r="977" spans="1:19">
      <c r="A977" s="683" t="s">
        <v>1214</v>
      </c>
      <c r="B977" s="2646">
        <f>-('Part VI-Revenues &amp; Expenses'!$P$179)</f>
        <v>-12000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66566</v>
      </c>
      <c r="S977" s="683">
        <v>66565.667088908638</v>
      </c>
    </row>
    <row r="978" spans="1:19">
      <c r="A978" s="683" t="s">
        <v>1215</v>
      </c>
      <c r="B978" s="2646">
        <f t="shared" ref="B978:K978" si="285">SUM(B970:B977)</f>
        <v>170945.24</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67172</v>
      </c>
      <c r="S978" s="683">
        <v>88933.34572205045</v>
      </c>
    </row>
    <row r="979" spans="1:19">
      <c r="A979" s="683" t="s">
        <v>1603</v>
      </c>
      <c r="B979" s="2646">
        <f>'Part VII-Pro Forma'!B23</f>
        <v>-59108.851240933596</v>
      </c>
      <c r="C979" s="2646">
        <f>'Part VII-Pro Forma'!C23</f>
        <v>-59108.851240933596</v>
      </c>
      <c r="D979" s="2646">
        <f>'Part VII-Pro Forma'!D23</f>
        <v>-59108.851240933596</v>
      </c>
      <c r="E979" s="2646">
        <f>'Part VII-Pro Forma'!E23</f>
        <v>-59108.851240933596</v>
      </c>
      <c r="F979" s="2646">
        <f>'Part VII-Pro Forma'!F23</f>
        <v>-59108.851240933596</v>
      </c>
      <c r="G979" s="2646">
        <f>'Part VII-Pro Forma'!G23</f>
        <v>-59108.851240933596</v>
      </c>
      <c r="H979" s="2646">
        <f>'Part VII-Pro Forma'!H23</f>
        <v>-59108.851240933596</v>
      </c>
      <c r="I979" s="2646">
        <f>'Part VII-Pro Forma'!I23</f>
        <v>-59108.851240933596</v>
      </c>
      <c r="J979" s="2646">
        <f>'Part VII-Pro Forma'!J23</f>
        <v>-59108.851240933596</v>
      </c>
      <c r="K979" s="2646">
        <f>'Part VII-Pro Forma'!K23</f>
        <v>-59108.851240933596</v>
      </c>
      <c r="Q979" s="683">
        <v>5</v>
      </c>
      <c r="R979" s="683">
        <v>67172</v>
      </c>
      <c r="S979" s="683">
        <v>111259.39625644761</v>
      </c>
    </row>
    <row r="980" spans="1:19">
      <c r="A980" s="683" t="s">
        <v>1604</v>
      </c>
      <c r="B980" s="2646">
        <f>'Part VII-Pro Forma'!B24</f>
        <v>-53225.204067190156</v>
      </c>
      <c r="C980" s="2646">
        <f>'Part VII-Pro Forma'!C24</f>
        <v>-53225.204067190156</v>
      </c>
      <c r="D980" s="2646">
        <f>'Part VII-Pro Forma'!D24</f>
        <v>-53225.204067190156</v>
      </c>
      <c r="E980" s="2646">
        <f>'Part VII-Pro Forma'!E24</f>
        <v>-53225.204067190156</v>
      </c>
      <c r="F980" s="2646">
        <f>'Part VII-Pro Forma'!F24</f>
        <v>-53225.204067190156</v>
      </c>
      <c r="G980" s="2646">
        <f>'Part VII-Pro Forma'!G24</f>
        <v>-53225.204067190156</v>
      </c>
      <c r="H980" s="2646">
        <f>'Part VII-Pro Forma'!H24</f>
        <v>-53225.204067190156</v>
      </c>
      <c r="I980" s="2646">
        <f>'Part VII-Pro Forma'!I24</f>
        <v>-53225.204067190156</v>
      </c>
      <c r="J980" s="2646">
        <f>'Part VII-Pro Forma'!J24</f>
        <v>-53225.204067190156</v>
      </c>
      <c r="K980" s="2646">
        <f>'Part VII-Pro Forma'!K24</f>
        <v>-53225.204067190156</v>
      </c>
      <c r="Q980" s="683">
        <v>6</v>
      </c>
      <c r="R980" s="683">
        <v>67172</v>
      </c>
      <c r="S980" s="683">
        <v>133460.18824679812</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67172</v>
      </c>
      <c r="S981" s="683">
        <v>155446.07190239415</v>
      </c>
    </row>
    <row r="982" spans="1:19">
      <c r="A982" s="683" t="s">
        <v>3880</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67172</v>
      </c>
      <c r="S982" s="683">
        <v>177125.2224981187</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67172</v>
      </c>
      <c r="S983" s="683">
        <v>198399.4794176002</v>
      </c>
    </row>
    <row r="984" spans="1:19">
      <c r="A984" s="683" t="s">
        <v>1174</v>
      </c>
      <c r="B984" s="2646">
        <f>'Part VII-Pro Forma'!B28</f>
        <v>-7100</v>
      </c>
      <c r="C984" s="2646">
        <f>'Part VII-Pro Forma'!C28</f>
        <v>-7238</v>
      </c>
      <c r="D984" s="2646">
        <f>'Part VII-Pro Forma'!D28</f>
        <v>-7380.1399999999994</v>
      </c>
      <c r="E984" s="2646">
        <f>'Part VII-Pro Forma'!E28</f>
        <v>-7526.5442000000003</v>
      </c>
      <c r="F984" s="2646">
        <f>'Part VII-Pro Forma'!F28</f>
        <v>-7677.340526</v>
      </c>
      <c r="G984" s="2646">
        <f>'Part VII-Pro Forma'!G28</f>
        <v>-7832.6607417799996</v>
      </c>
      <c r="H984" s="2646">
        <f>'Part VII-Pro Forma'!H28</f>
        <v>-7992.6405640333996</v>
      </c>
      <c r="I984" s="2646">
        <f>'Part VII-Pro Forma'!I28</f>
        <v>-8157.4197809544021</v>
      </c>
      <c r="J984" s="2646">
        <f>'Part VII-Pro Forma'!J28</f>
        <v>-8327.1423743830346</v>
      </c>
      <c r="K984" s="2646">
        <f>'Part VII-Pro Forma'!K28</f>
        <v>-8501.9566456145258</v>
      </c>
      <c r="Q984" s="683">
        <v>10</v>
      </c>
      <c r="R984" s="683">
        <v>67172</v>
      </c>
      <c r="S984" s="683">
        <v>219167.17965348408</v>
      </c>
    </row>
    <row r="985" spans="1:19">
      <c r="A985" s="683" t="s">
        <v>4128</v>
      </c>
      <c r="B985" s="2646">
        <f>'Part VII-Pro Forma'!B29</f>
        <v>-22025</v>
      </c>
      <c r="C985" s="2646">
        <f>'Part VII-Pro Forma'!C29</f>
        <v>-22212</v>
      </c>
      <c r="D985" s="2646">
        <f>'Part VII-Pro Forma'!D29</f>
        <v>-22329</v>
      </c>
      <c r="E985" s="2646">
        <f>'Part VII-Pro Forma'!E29</f>
        <v>-606</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67172</v>
      </c>
      <c r="S985" s="683">
        <v>239320.98558425391</v>
      </c>
    </row>
    <row r="986" spans="1:19">
      <c r="A986" s="683" t="s">
        <v>1175</v>
      </c>
      <c r="B986" s="2646">
        <f>SUM(B978:B985)</f>
        <v>29486.184691876239</v>
      </c>
      <c r="C986" s="2646">
        <f t="shared" ref="C986:K986" si="286">SUM(C978:C985)</f>
        <v>-141784.05530812376</v>
      </c>
      <c r="D986" s="2646">
        <f t="shared" si="286"/>
        <v>-142043.19530812377</v>
      </c>
      <c r="E986" s="2646">
        <f t="shared" si="286"/>
        <v>-120466.59950812376</v>
      </c>
      <c r="F986" s="2646">
        <f t="shared" si="286"/>
        <v>-120011.39583412376</v>
      </c>
      <c r="G986" s="2646">
        <f t="shared" si="286"/>
        <v>-120166.71604990376</v>
      </c>
      <c r="H986" s="2646">
        <f t="shared" si="286"/>
        <v>-120326.69587215716</v>
      </c>
      <c r="I986" s="2646">
        <f t="shared" si="286"/>
        <v>-120491.47508907816</v>
      </c>
      <c r="J986" s="2646">
        <f t="shared" si="286"/>
        <v>-120661.1976825068</v>
      </c>
      <c r="K986" s="2646">
        <f t="shared" si="286"/>
        <v>-120836.01195373829</v>
      </c>
      <c r="Q986" s="683">
        <v>12</v>
      </c>
      <c r="R986" s="683">
        <v>67172</v>
      </c>
      <c r="S986" s="683">
        <v>258749.70684132757</v>
      </c>
    </row>
    <row r="987" spans="1:19">
      <c r="A987" s="683" t="str">
        <f>IF('Part III-Sources of Funds'!$E$37 = "Neither", "", "DCR Mortgage A")</f>
        <v>DCR Mortgage A</v>
      </c>
      <c r="B987" s="2647">
        <f t="shared" ref="B987:K987" si="287">IF(B979=0,"",-B978/B979)</f>
        <v>2.8920413171829389</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c r="Q987" s="683">
        <v>13</v>
      </c>
      <c r="R987" s="683">
        <v>67172</v>
      </c>
      <c r="S987" s="683">
        <v>277335.11607427703</v>
      </c>
    </row>
    <row r="988" spans="1:19">
      <c r="A988" s="683" t="str">
        <f>IF('Part III-Sources of Funds'!$E$37 = "Neither", "", "DCR Mortgage B")</f>
        <v>DCR Mortgage B</v>
      </c>
      <c r="B988" s="2647">
        <f t="shared" ref="B988:K988" si="288">IF(B980=0,"",-(B978+B979)/B980)</f>
        <v>2.1011922963768623</v>
      </c>
      <c r="C988" s="2647">
        <f t="shared" si="288"/>
        <v>-1.1105425009985133</v>
      </c>
      <c r="D988" s="2647">
        <f t="shared" si="288"/>
        <v>-1.1105425009985133</v>
      </c>
      <c r="E988" s="2647">
        <f t="shared" si="288"/>
        <v>-1.1105425009985133</v>
      </c>
      <c r="F988" s="2647">
        <f t="shared" si="288"/>
        <v>-1.1105425009985133</v>
      </c>
      <c r="G988" s="2647">
        <f t="shared" si="288"/>
        <v>-1.1105425009985133</v>
      </c>
      <c r="H988" s="2647">
        <f t="shared" si="288"/>
        <v>-1.1105425009985133</v>
      </c>
      <c r="I988" s="2647">
        <f t="shared" si="288"/>
        <v>-1.1105425009985133</v>
      </c>
      <c r="J988" s="2647">
        <f t="shared" si="288"/>
        <v>-1.1105425009985133</v>
      </c>
      <c r="K988" s="2647">
        <f t="shared" si="288"/>
        <v>-1.1105425009985133</v>
      </c>
      <c r="Q988" s="683">
        <v>14</v>
      </c>
      <c r="R988" s="683">
        <v>67172</v>
      </c>
      <c r="S988" s="683">
        <v>294954.75841595687</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67172</v>
      </c>
      <c r="S989" s="683">
        <v>311479.754443079</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67172</v>
      </c>
      <c r="S990" s="683">
        <v>326985.33380335546</v>
      </c>
    </row>
    <row r="991" spans="1:19">
      <c r="A991" s="683" t="s">
        <v>3738</v>
      </c>
      <c r="B991" s="2647">
        <f t="shared" ref="B991:K991" si="291">IF(AND(B979=0,B980=0,B981=0,B982=0),"",-B978/(B979+B980+B981+B982))</f>
        <v>1.5217579346807182</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67172</v>
      </c>
      <c r="S991" s="683">
        <v>341337.41188500245</v>
      </c>
    </row>
    <row r="992" spans="1:19">
      <c r="A992" s="683" t="s">
        <v>778</v>
      </c>
      <c r="B992" s="2648">
        <f t="shared" ref="B992:K992" si="292">IF(OR(B976="Choose mgt fee",B976="Choose One!"),"",(B970+B971+B972+B973+B974) / -(B975+B976+B977))</f>
        <v>1.6274117763643237</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67172</v>
      </c>
      <c r="S992" s="683">
        <v>354396.03509564686</v>
      </c>
    </row>
    <row r="993" spans="1:19">
      <c r="A993" s="683" t="s">
        <v>2634</v>
      </c>
      <c r="B993" s="2646">
        <f>'Part VII-Pro Forma'!B37</f>
        <v>790625.63454726164</v>
      </c>
      <c r="C993" s="2646">
        <f>'Part VII-Pro Forma'!C37</f>
        <v>780648.29289782012</v>
      </c>
      <c r="D993" s="2646">
        <f>'Part VII-Pro Forma'!D37</f>
        <v>770029.19052853901</v>
      </c>
      <c r="E993" s="2646">
        <f>'Part VII-Pro Forma'!E37</f>
        <v>758727.04822537513</v>
      </c>
      <c r="F993" s="2646">
        <f>'Part VII-Pro Forma'!F37</f>
        <v>746697.93162033265</v>
      </c>
      <c r="G993" s="2646">
        <f>'Part VII-Pro Forma'!G37</f>
        <v>733895.08040714241</v>
      </c>
      <c r="H993" s="2646">
        <f>'Part VII-Pro Forma'!H37</f>
        <v>720268.7265717847</v>
      </c>
      <c r="I993" s="2646">
        <f>'Part VII-Pro Forma'!I37</f>
        <v>705765.90093126858</v>
      </c>
      <c r="J993" s="2646">
        <f>'Part VII-Pro Forma'!J37</f>
        <v>690330.22722863499</v>
      </c>
      <c r="K993" s="2646">
        <f>'Part VII-Pro Forma'!K37</f>
        <v>673901.70298377646</v>
      </c>
      <c r="Q993" s="683">
        <v>19</v>
      </c>
      <c r="R993" s="683">
        <v>67172</v>
      </c>
      <c r="S993" s="683">
        <v>366015.16126406391</v>
      </c>
    </row>
    <row r="994" spans="1:19">
      <c r="A994" s="683" t="s">
        <v>2635</v>
      </c>
      <c r="B994" s="2646">
        <f>'Part VII-Pro Forma'!B38</f>
        <v>1170505.4043121678</v>
      </c>
      <c r="C994" s="2646">
        <f>'Part VII-Pro Forma'!C38</f>
        <v>1140415.4792142902</v>
      </c>
      <c r="D994" s="2646">
        <f>'Part VII-Pro Forma'!D38</f>
        <v>1109718.2083658073</v>
      </c>
      <c r="E994" s="2646">
        <f>'Part VII-Pro Forma'!E38</f>
        <v>1078401.3328840672</v>
      </c>
      <c r="F994" s="2646">
        <f>'Part VII-Pro Forma'!F38</f>
        <v>1046452.3464487704</v>
      </c>
      <c r="G994" s="2646">
        <f>'Part VII-Pro Forma'!G38</f>
        <v>1013858.4903076001</v>
      </c>
      <c r="H994" s="2646">
        <f>'Part VII-Pro Forma'!H38</f>
        <v>980606.74818104471</v>
      </c>
      <c r="I994" s="2646">
        <f>'Part VII-Pro Forma'!I38</f>
        <v>946683.84106437734</v>
      </c>
      <c r="J994" s="2646">
        <f>'Part VII-Pro Forma'!J38</f>
        <v>912076.22192471661</v>
      </c>
      <c r="K994" s="2646">
        <f>'Part VII-Pro Forma'!K38</f>
        <v>876770.07029105106</v>
      </c>
      <c r="Q994" s="683">
        <v>20</v>
      </c>
      <c r="R994" s="683">
        <v>67172</v>
      </c>
      <c r="S994" s="683">
        <v>376041.4325833905</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4129</v>
      </c>
      <c r="B997" s="2646">
        <f>'Part VII-Pro Forma'!B41</f>
        <v>45147</v>
      </c>
      <c r="C997" s="2646">
        <f>'Part VII-Pro Forma'!C41</f>
        <v>22935</v>
      </c>
      <c r="D997" s="2646">
        <f>'Part VII-Pro Forma'!D41</f>
        <v>606</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-59108.851240933596</v>
      </c>
      <c r="C1009" s="2646">
        <f>'Part VII-Pro Forma'!C53</f>
        <v>-59108.851240933596</v>
      </c>
      <c r="D1009" s="2646">
        <f>'Part VII-Pro Forma'!D53</f>
        <v>-59108.851240933596</v>
      </c>
      <c r="E1009" s="2646">
        <f>'Part VII-Pro Forma'!E53</f>
        <v>-59108.851240933596</v>
      </c>
      <c r="F1009" s="2646">
        <f>'Part VII-Pro Forma'!F53</f>
        <v>-59108.851240933596</v>
      </c>
      <c r="G1009" s="2646">
        <f>'Part VII-Pro Forma'!G53</f>
        <v>-59108.851240933596</v>
      </c>
      <c r="H1009" s="2646">
        <f>'Part VII-Pro Forma'!H53</f>
        <v>-59108.851240933596</v>
      </c>
      <c r="I1009" s="2646">
        <f>'Part VII-Pro Forma'!I53</f>
        <v>-59108.851240933596</v>
      </c>
      <c r="J1009" s="2646">
        <f>'Part VII-Pro Forma'!J53</f>
        <v>-59108.851240933596</v>
      </c>
      <c r="K1009" s="2646">
        <f>'Part VII-Pro Forma'!K53</f>
        <v>-59108.851240933596</v>
      </c>
    </row>
    <row r="1010" spans="1:11">
      <c r="A1010" s="683" t="str">
        <f>$A980</f>
        <v>Mortgage B</v>
      </c>
      <c r="B1010" s="2646">
        <f>'Part VII-Pro Forma'!B54</f>
        <v>-53225.204067190156</v>
      </c>
      <c r="C1010" s="2646">
        <f>'Part VII-Pro Forma'!C54</f>
        <v>-53225.204067190156</v>
      </c>
      <c r="D1010" s="2646">
        <f>'Part VII-Pro Forma'!D54</f>
        <v>-53225.204067190156</v>
      </c>
      <c r="E1010" s="2646">
        <f>'Part VII-Pro Forma'!E54</f>
        <v>-53225.204067190156</v>
      </c>
      <c r="F1010" s="2646">
        <f>'Part VII-Pro Forma'!F54</f>
        <v>-53225.204067190156</v>
      </c>
      <c r="G1010" s="2646">
        <f>'Part VII-Pro Forma'!G54</f>
        <v>-53225.204067190156</v>
      </c>
      <c r="H1010" s="2646">
        <f>'Part VII-Pro Forma'!H54</f>
        <v>-53225.204067190156</v>
      </c>
      <c r="I1010" s="2646">
        <f>'Part VII-Pro Forma'!I54</f>
        <v>-53225.204067190156</v>
      </c>
      <c r="J1010" s="2646">
        <f>'Part VII-Pro Forma'!J54</f>
        <v>-53225.204067190156</v>
      </c>
      <c r="K1010" s="2646">
        <f>'Part VII-Pro Forma'!K54</f>
        <v>-53225.204067190156</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-8682.0153449829595</v>
      </c>
      <c r="C1014" s="2646">
        <f>'Part VII-Pro Forma'!C58</f>
        <v>-8867.4758053324495</v>
      </c>
      <c r="D1014" s="2646">
        <f>'Part VII-Pro Forma'!D58</f>
        <v>-9058.5000794924217</v>
      </c>
      <c r="E1014" s="2646">
        <f>'Part VII-Pro Forma'!E58</f>
        <v>-9255.2550818771942</v>
      </c>
      <c r="F1014" s="2646">
        <f>'Part VII-Pro Forma'!F58</f>
        <v>-9457.9127343335094</v>
      </c>
      <c r="G1014" s="2646">
        <f>'Part VII-Pro Forma'!G58</f>
        <v>-9457.9127343335094</v>
      </c>
      <c r="H1014" s="2646">
        <f>'Part VII-Pro Forma'!H58</f>
        <v>-9457.9127343335094</v>
      </c>
      <c r="I1014" s="2646">
        <f>'Part VII-Pro Forma'!I58</f>
        <v>-9457.9127343335094</v>
      </c>
      <c r="J1014" s="2646">
        <f>'Part VII-Pro Forma'!J58</f>
        <v>-9457.9127343335094</v>
      </c>
      <c r="K1014" s="2646">
        <f>'Part VII-Pro Forma'!K58</f>
        <v>-9457.9127343335094</v>
      </c>
    </row>
    <row r="1015" spans="1:11">
      <c r="A1015" s="683" t="s">
        <v>4128</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-121016.07065310673</v>
      </c>
      <c r="C1016" s="2646">
        <f t="shared" ref="C1016:K1016" si="300">SUM(C1008:C1015)</f>
        <v>-121201.53111345621</v>
      </c>
      <c r="D1016" s="2646">
        <f t="shared" si="300"/>
        <v>-121392.55538761619</v>
      </c>
      <c r="E1016" s="2646">
        <f t="shared" si="300"/>
        <v>-121589.31039000096</v>
      </c>
      <c r="F1016" s="2646">
        <f t="shared" si="300"/>
        <v>-121791.96804245727</v>
      </c>
      <c r="G1016" s="2646">
        <f t="shared" si="300"/>
        <v>-121791.96804245727</v>
      </c>
      <c r="H1016" s="2646">
        <f t="shared" si="300"/>
        <v>-121791.96804245727</v>
      </c>
      <c r="I1016" s="2646">
        <f t="shared" si="300"/>
        <v>-121791.96804245727</v>
      </c>
      <c r="J1016" s="2646">
        <f t="shared" si="300"/>
        <v>-121791.96804245727</v>
      </c>
      <c r="K1016" s="2646">
        <f t="shared" si="300"/>
        <v>-121791.96804245727</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f t="shared" si="301"/>
        <v>0</v>
      </c>
      <c r="J1017" s="2647">
        <f t="shared" si="301"/>
        <v>0</v>
      </c>
      <c r="K1017" s="2647">
        <f t="shared" si="301"/>
        <v>0</v>
      </c>
    </row>
    <row r="1018" spans="1:11">
      <c r="A1018" s="683" t="str">
        <f>$A988</f>
        <v>DCR Mortgage B</v>
      </c>
      <c r="B1018" s="2647">
        <f t="shared" ref="B1018:K1018" si="302">IF(B1010=0,"",-(B1008+B1009)/B1010)</f>
        <v>-1.1105425009985133</v>
      </c>
      <c r="C1018" s="2647">
        <f t="shared" si="302"/>
        <v>-1.1105425009985133</v>
      </c>
      <c r="D1018" s="2647">
        <f t="shared" si="302"/>
        <v>-1.1105425009985133</v>
      </c>
      <c r="E1018" s="2647">
        <f t="shared" si="302"/>
        <v>-1.1105425009985133</v>
      </c>
      <c r="F1018" s="2647">
        <f t="shared" si="302"/>
        <v>-1.1105425009985133</v>
      </c>
      <c r="G1018" s="2647">
        <f t="shared" si="302"/>
        <v>-1.1105425009985133</v>
      </c>
      <c r="H1018" s="2647">
        <f t="shared" si="302"/>
        <v>-1.1105425009985133</v>
      </c>
      <c r="I1018" s="2647">
        <f t="shared" si="302"/>
        <v>-1.1105425009985133</v>
      </c>
      <c r="J1018" s="2647">
        <f t="shared" si="302"/>
        <v>-1.1105425009985133</v>
      </c>
      <c r="K1018" s="2647">
        <f t="shared" si="302"/>
        <v>-1.1105425009985133</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3738</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656416.46624818421</v>
      </c>
      <c r="C1023" s="2646">
        <f>'Part VII-Pro Forma'!C67</f>
        <v>637806.54735693708</v>
      </c>
      <c r="D1023" s="2646">
        <f>'Part VII-Pro Forma'!D67</f>
        <v>617999.60471292795</v>
      </c>
      <c r="E1023" s="2646">
        <f>'Part VII-Pro Forma'!E67</f>
        <v>596918.64357625227</v>
      </c>
      <c r="F1023" s="2646">
        <f>'Part VII-Pro Forma'!F67</f>
        <v>574481.7167656197</v>
      </c>
      <c r="G1023" s="2646">
        <f>'Part VII-Pro Forma'!G67</f>
        <v>550601.60610833741</v>
      </c>
      <c r="H1023" s="2646">
        <f>'Part VII-Pro Forma'!H67</f>
        <v>525185.48340057838</v>
      </c>
      <c r="I1023" s="2646">
        <f>'Part VII-Pro Forma'!I67</f>
        <v>498134.54955999856</v>
      </c>
      <c r="J1023" s="2646">
        <f>'Part VII-Pro Forma'!J67</f>
        <v>469343.65056799643</v>
      </c>
      <c r="K1023" s="2646">
        <f>'Part VII-Pro Forma'!K67</f>
        <v>438700.86870868062</v>
      </c>
    </row>
    <row r="1024" spans="1:11">
      <c r="A1024" s="683" t="s">
        <v>2635</v>
      </c>
      <c r="B1024" s="2646">
        <f>'Part VII-Pro Forma'!B68</f>
        <v>840751.28673506656</v>
      </c>
      <c r="C1024" s="2646">
        <f>'Part VII-Pro Forma'!C68</f>
        <v>804005.48724057304</v>
      </c>
      <c r="D1024" s="2646">
        <f>'Part VII-Pro Forma'!D68</f>
        <v>766517.99745928147</v>
      </c>
      <c r="E1024" s="2646">
        <f>'Part VII-Pro Forma'!E68</f>
        <v>728273.84685063758</v>
      </c>
      <c r="F1024" s="2646">
        <f>'Part VII-Pro Forma'!F68</f>
        <v>689257.76270337193</v>
      </c>
      <c r="G1024" s="2646">
        <f>'Part VII-Pro Forma'!G68</f>
        <v>649454.1640363785</v>
      </c>
      <c r="H1024" s="2646">
        <f>'Part VII-Pro Forma'!H68</f>
        <v>608847.15537648671</v>
      </c>
      <c r="I1024" s="2646">
        <f>'Part VII-Pro Forma'!I68</f>
        <v>567420.5204106418</v>
      </c>
      <c r="J1024" s="2646">
        <f>'Part VII-Pro Forma'!J68</f>
        <v>525157.71550995857</v>
      </c>
      <c r="K1024" s="2646">
        <f>'Part VII-Pro Forma'!K68</f>
        <v>482041.86312306189</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4129</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-59108.851240933596</v>
      </c>
      <c r="C1039" s="2646">
        <f>'Part VII-Pro Forma'!C83</f>
        <v>-59108.851240933596</v>
      </c>
      <c r="D1039" s="2646">
        <f>'Part VII-Pro Forma'!D83</f>
        <v>-59108.851240933596</v>
      </c>
      <c r="E1039" s="2646">
        <f>'Part VII-Pro Forma'!E83</f>
        <v>-59108.851240933596</v>
      </c>
      <c r="F1039" s="2646">
        <f>'Part VII-Pro Forma'!F83</f>
        <v>-59108.851240933596</v>
      </c>
      <c r="G1039" s="2646">
        <f>'Part VII-Pro Forma'!G83</f>
        <v>-59108.851240933596</v>
      </c>
      <c r="H1039" s="2646">
        <f>'Part VII-Pro Forma'!H83</f>
        <v>-59108.851240933596</v>
      </c>
      <c r="I1039" s="2646">
        <f>'Part VII-Pro Forma'!I83</f>
        <v>-59108.851240933596</v>
      </c>
      <c r="J1039" s="2646">
        <f>'Part VII-Pro Forma'!J83</f>
        <v>-59108.851240933596</v>
      </c>
      <c r="K1039" s="2646">
        <f>'Part VII-Pro Forma'!K83</f>
        <v>-59108.851240933596</v>
      </c>
    </row>
    <row r="1040" spans="1:11">
      <c r="A1040" s="683" t="str">
        <f>$A1010</f>
        <v>Mortgage B</v>
      </c>
      <c r="B1040" s="2646">
        <f>'Part VII-Pro Forma'!B84</f>
        <v>-53225.204067190156</v>
      </c>
      <c r="C1040" s="2646">
        <f>'Part VII-Pro Forma'!C84</f>
        <v>-53225.204067190156</v>
      </c>
      <c r="D1040" s="2646">
        <f>'Part VII-Pro Forma'!D84</f>
        <v>-53225.204067190156</v>
      </c>
      <c r="E1040" s="2646">
        <f>'Part VII-Pro Forma'!E84</f>
        <v>-53225.204067190156</v>
      </c>
      <c r="F1040" s="2646">
        <f>'Part VII-Pro Forma'!F84</f>
        <v>-53225.204067190156</v>
      </c>
      <c r="G1040" s="2646">
        <f>'Part VII-Pro Forma'!G84</f>
        <v>-53225.204067190156</v>
      </c>
      <c r="H1040" s="2646">
        <f>'Part VII-Pro Forma'!H84</f>
        <v>-53225.204067190156</v>
      </c>
      <c r="I1040" s="2646">
        <f>'Part VII-Pro Forma'!I84</f>
        <v>-53225.204067190156</v>
      </c>
      <c r="J1040" s="2646">
        <f>'Part VII-Pro Forma'!J84</f>
        <v>-53225.204067190156</v>
      </c>
      <c r="K1040" s="2646">
        <f>'Part VII-Pro Forma'!K84</f>
        <v>-53225.204067190156</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-9457.9127343335094</v>
      </c>
      <c r="C1044" s="2646">
        <f>'Part VII-Pro Forma'!C88</f>
        <v>-9457.9127343335094</v>
      </c>
      <c r="D1044" s="2646">
        <f>'Part VII-Pro Forma'!D88</f>
        <v>-9457.9127343335094</v>
      </c>
      <c r="E1044" s="2646">
        <f>'Part VII-Pro Forma'!E88</f>
        <v>-9457.9127343335094</v>
      </c>
      <c r="F1044" s="2646">
        <f>'Part VII-Pro Forma'!F88</f>
        <v>-9457.9127343335094</v>
      </c>
      <c r="G1044" s="2646">
        <f>'Part VII-Pro Forma'!G88</f>
        <v>-9457.9127343335094</v>
      </c>
      <c r="H1044" s="2646">
        <f>'Part VII-Pro Forma'!H88</f>
        <v>-9457.9127343335094</v>
      </c>
      <c r="I1044" s="2646">
        <f>'Part VII-Pro Forma'!I88</f>
        <v>-9457.9127343335094</v>
      </c>
      <c r="J1044" s="2646">
        <f>'Part VII-Pro Forma'!J88</f>
        <v>-9457.9127343335094</v>
      </c>
      <c r="K1044" s="2646">
        <f>'Part VII-Pro Forma'!K88</f>
        <v>-9457.9127343335094</v>
      </c>
    </row>
    <row r="1045" spans="1:11">
      <c r="A1045" s="683" t="s">
        <v>1175</v>
      </c>
      <c r="B1045" s="2646">
        <f t="shared" ref="B1045:K1045" si="314">SUM(B1038:B1044)</f>
        <v>-121791.96804245727</v>
      </c>
      <c r="C1045" s="2646">
        <f t="shared" si="314"/>
        <v>-121791.96804245727</v>
      </c>
      <c r="D1045" s="2646">
        <f t="shared" si="314"/>
        <v>-121791.96804245727</v>
      </c>
      <c r="E1045" s="2646">
        <f t="shared" si="314"/>
        <v>-121791.96804245727</v>
      </c>
      <c r="F1045" s="2646">
        <f t="shared" si="314"/>
        <v>-121791.96804245727</v>
      </c>
      <c r="G1045" s="2646">
        <f t="shared" si="314"/>
        <v>-121791.96804245727</v>
      </c>
      <c r="H1045" s="2646">
        <f t="shared" si="314"/>
        <v>-121791.96804245727</v>
      </c>
      <c r="I1045" s="2646">
        <f t="shared" si="314"/>
        <v>-121791.96804245727</v>
      </c>
      <c r="J1045" s="2646">
        <f t="shared" si="314"/>
        <v>-121791.96804245727</v>
      </c>
      <c r="K1045" s="2646">
        <f t="shared" si="314"/>
        <v>-121791.96804245727</v>
      </c>
    </row>
    <row r="1046" spans="1:11">
      <c r="A1046" s="683" t="str">
        <f>$A1017</f>
        <v>DCR Mortgage A</v>
      </c>
      <c r="B1046" s="2647">
        <f>IF(B1039=0,"",-B1038/B1039)</f>
        <v>0</v>
      </c>
      <c r="C1046" s="2647">
        <f t="shared" ref="C1046:K1046" si="315">IF(C1039=0,"",-C1038/C1039)</f>
        <v>0</v>
      </c>
      <c r="D1046" s="2647">
        <f t="shared" si="315"/>
        <v>0</v>
      </c>
      <c r="E1046" s="2647">
        <f t="shared" si="315"/>
        <v>0</v>
      </c>
      <c r="F1046" s="2647">
        <f t="shared" si="315"/>
        <v>0</v>
      </c>
      <c r="G1046" s="2647">
        <f t="shared" si="315"/>
        <v>0</v>
      </c>
      <c r="H1046" s="2647">
        <f t="shared" si="315"/>
        <v>0</v>
      </c>
      <c r="I1046" s="2647">
        <f t="shared" si="315"/>
        <v>0</v>
      </c>
      <c r="J1046" s="2647">
        <f t="shared" si="315"/>
        <v>0</v>
      </c>
      <c r="K1046" s="2647">
        <f t="shared" si="315"/>
        <v>0</v>
      </c>
    </row>
    <row r="1047" spans="1:11">
      <c r="A1047" s="683" t="str">
        <f>$A1018</f>
        <v>DCR Mortgage B</v>
      </c>
      <c r="B1047" s="2647">
        <f>IF(B1040=0,"",-(B1038+B1039)/B1040)</f>
        <v>-1.1105425009985133</v>
      </c>
      <c r="C1047" s="2647">
        <f t="shared" ref="C1047:K1047" si="316">IF(C1040=0,"",-(C1038+C1039)/C1040)</f>
        <v>-1.1105425009985133</v>
      </c>
      <c r="D1047" s="2647">
        <f t="shared" si="316"/>
        <v>-1.1105425009985133</v>
      </c>
      <c r="E1047" s="2647">
        <f t="shared" si="316"/>
        <v>-1.1105425009985133</v>
      </c>
      <c r="F1047" s="2647">
        <f t="shared" si="316"/>
        <v>-1.1105425009985133</v>
      </c>
      <c r="G1047" s="2647">
        <f t="shared" si="316"/>
        <v>-1.1105425009985133</v>
      </c>
      <c r="H1047" s="2647">
        <f t="shared" si="316"/>
        <v>-1.1105425009985133</v>
      </c>
      <c r="I1047" s="2647">
        <f t="shared" si="316"/>
        <v>-1.1105425009985133</v>
      </c>
      <c r="J1047" s="2647">
        <f t="shared" si="316"/>
        <v>-1.1105425009985133</v>
      </c>
      <c r="K1047" s="2647">
        <f t="shared" si="316"/>
        <v>-1.1105425009985133</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3738</v>
      </c>
      <c r="B1050" s="2647">
        <f>IF(AND(B1039=0,B1040=0,B1041=0,B1042=0),"",-B1038/(B1039+B1040+B1041+B1042))</f>
        <v>0</v>
      </c>
      <c r="C1050" s="2647">
        <f t="shared" ref="C1050:K1050" si="319">IF(AND(C1039=0,C1040=0,C1041=0,C1042=0),"",-C1038/(C1039+C1040+C1041+C1042))</f>
        <v>0</v>
      </c>
      <c r="D1050" s="2647">
        <f t="shared" si="319"/>
        <v>0</v>
      </c>
      <c r="E1050" s="2647">
        <f t="shared" si="319"/>
        <v>0</v>
      </c>
      <c r="F1050" s="2647">
        <f t="shared" si="319"/>
        <v>0</v>
      </c>
      <c r="G1050" s="2647">
        <f t="shared" si="319"/>
        <v>0</v>
      </c>
      <c r="H1050" s="2647">
        <f t="shared" si="319"/>
        <v>0</v>
      </c>
      <c r="I1050" s="2647">
        <f t="shared" si="319"/>
        <v>0</v>
      </c>
      <c r="J1050" s="2647">
        <f t="shared" si="319"/>
        <v>0</v>
      </c>
      <c r="K1050" s="2647">
        <f t="shared" si="319"/>
        <v>0</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406087.0875155871</v>
      </c>
      <c r="C1052" s="2646">
        <f>'Part VII-Pro Forma'!C96</f>
        <v>371375.52873497934</v>
      </c>
      <c r="D1052" s="2646">
        <f>'Part VII-Pro Forma'!D96</f>
        <v>334431.25950578798</v>
      </c>
      <c r="E1052" s="2646">
        <f>'Part VII-Pro Forma'!E96</f>
        <v>295110.66784046951</v>
      </c>
      <c r="F1052" s="2646">
        <f>'Part VII-Pro Forma'!F96</f>
        <v>253260.90436784245</v>
      </c>
      <c r="G1052" s="2646">
        <f>'Part VII-Pro Forma'!G96</f>
        <v>208719.28816780951</v>
      </c>
      <c r="H1052" s="2646">
        <f>'Part VII-Pro Forma'!H96</f>
        <v>161312.67438829094</v>
      </c>
      <c r="I1052" s="2646">
        <f>'Part VII-Pro Forma'!I96</f>
        <v>110856.78118613135</v>
      </c>
      <c r="J1052" s="2646">
        <f>'Part VII-Pro Forma'!J96</f>
        <v>57155.473375624715</v>
      </c>
      <c r="K1052" s="2646">
        <f>'Part VII-Pro Forma'!K96</f>
        <v>1.2179953046143055E-8</v>
      </c>
    </row>
    <row r="1053" spans="1:11">
      <c r="A1053" s="683" t="s">
        <v>2635</v>
      </c>
      <c r="B1053" s="2646">
        <f>'Part VII-Pro Forma'!B97</f>
        <v>438055.74503607699</v>
      </c>
      <c r="C1053" s="2646">
        <f>'Part VII-Pro Forma'!C97</f>
        <v>393181.79549657583</v>
      </c>
      <c r="D1053" s="2646">
        <f>'Part VII-Pro Forma'!D97</f>
        <v>347402.09419873561</v>
      </c>
      <c r="E1053" s="2646">
        <f>'Part VII-Pro Forma'!E97</f>
        <v>300698.35912690684</v>
      </c>
      <c r="F1053" s="2646">
        <f>'Part VII-Pro Forma'!F97</f>
        <v>253051.93925473368</v>
      </c>
      <c r="G1053" s="2646">
        <f>'Part VII-Pro Forma'!G97</f>
        <v>204443.80709691037</v>
      </c>
      <c r="H1053" s="2646">
        <f>'Part VII-Pro Forma'!H97</f>
        <v>154854.55111060012</v>
      </c>
      <c r="I1053" s="2646">
        <f>'Part VII-Pro Forma'!I97</f>
        <v>104264.36794348115</v>
      </c>
      <c r="J1053" s="2646">
        <f>'Part VII-Pro Forma'!J97</f>
        <v>52653.054525324696</v>
      </c>
      <c r="K1053" s="2646">
        <f>'Part VII-Pro Forma'!K97</f>
        <v>-5.3303665481507778E-8</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-59108.851240933596</v>
      </c>
      <c r="C1067" s="2646">
        <f>'Part VII-Pro Forma'!C111</f>
        <v>-59108.851240933596</v>
      </c>
      <c r="D1067" s="2646">
        <f>'Part VII-Pro Forma'!D111</f>
        <v>-59108.851240933596</v>
      </c>
      <c r="E1067" s="2646">
        <f>'Part VII-Pro Forma'!E111</f>
        <v>-59108.851240933596</v>
      </c>
      <c r="F1067" s="2646">
        <f>'Part VII-Pro Forma'!F111</f>
        <v>-59108.851240933596</v>
      </c>
      <c r="G1067" s="2646"/>
      <c r="H1067" s="2646"/>
      <c r="I1067" s="2646"/>
      <c r="J1067" s="2646"/>
      <c r="K1067" s="2646"/>
    </row>
    <row r="1068" spans="1:11">
      <c r="A1068" s="683" t="str">
        <f>$A1040</f>
        <v>Mortgage B</v>
      </c>
      <c r="B1068" s="2646">
        <f>'Part VII-Pro Forma'!B112</f>
        <v>-53225.204067190156</v>
      </c>
      <c r="C1068" s="2646">
        <f>'Part VII-Pro Forma'!C112</f>
        <v>-53225.204067190156</v>
      </c>
      <c r="D1068" s="2646">
        <f>'Part VII-Pro Forma'!D112</f>
        <v>-53225.204067190156</v>
      </c>
      <c r="E1068" s="2646">
        <f>'Part VII-Pro Forma'!E112</f>
        <v>-53225.204067190156</v>
      </c>
      <c r="F1068" s="2646">
        <f>'Part VII-Pro Forma'!F112</f>
        <v>-53225.204067190156</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-9457.9127343335094</v>
      </c>
      <c r="C1072" s="2646">
        <f>'Part VII-Pro Forma'!C116</f>
        <v>-9457.9127343335094</v>
      </c>
      <c r="D1072" s="2646">
        <f>'Part VII-Pro Forma'!D116</f>
        <v>-9457.9127343335094</v>
      </c>
      <c r="E1072" s="2646">
        <f>'Part VII-Pro Forma'!E116</f>
        <v>-9457.9127343335094</v>
      </c>
      <c r="F1072" s="2646">
        <f>'Part VII-Pro Forma'!F116</f>
        <v>-9457.9127343335094</v>
      </c>
      <c r="G1072" s="2646"/>
      <c r="H1072" s="2646"/>
      <c r="I1072" s="2646"/>
      <c r="J1072" s="2646"/>
      <c r="K1072" s="2646"/>
    </row>
    <row r="1073" spans="1:11">
      <c r="A1073" s="683" t="s">
        <v>1175</v>
      </c>
      <c r="B1073" s="2646">
        <f>SUM(B1066:B1072)</f>
        <v>-121791.96804245727</v>
      </c>
      <c r="C1073" s="2646">
        <f>SUM(C1066:C1072)</f>
        <v>-121791.96804245727</v>
      </c>
      <c r="D1073" s="2646">
        <f>SUM(D1066:D1072)</f>
        <v>-121791.96804245727</v>
      </c>
      <c r="E1073" s="2646">
        <f>SUM(E1066:E1072)</f>
        <v>-121791.96804245727</v>
      </c>
      <c r="F1073" s="2646">
        <f>SUM(F1066:F1072)</f>
        <v>-121791.96804245727</v>
      </c>
      <c r="G1073" s="2646"/>
      <c r="H1073" s="2646"/>
      <c r="I1073" s="2646"/>
      <c r="J1073" s="2646"/>
      <c r="K1073" s="2646"/>
    </row>
    <row r="1074" spans="1:11">
      <c r="A1074" s="683" t="str">
        <f>$A1046</f>
        <v>DCR Mortgage A</v>
      </c>
      <c r="B1074" s="2647">
        <f>IF(B1067=0,"",-B1066/B1067)</f>
        <v>0</v>
      </c>
      <c r="C1074" s="2647">
        <f>IF(C1067=0,"",-C1066/C1067)</f>
        <v>0</v>
      </c>
      <c r="D1074" s="2647">
        <f>IF(D1067=0,"",-D1066/D1067)</f>
        <v>0</v>
      </c>
      <c r="E1074" s="2647">
        <f>IF(E1067=0,"",-E1066/E1067)</f>
        <v>0</v>
      </c>
      <c r="F1074" s="2647">
        <f>IF(F1067=0,"",-F1066/F1067)</f>
        <v>0</v>
      </c>
      <c r="G1074" s="2646"/>
      <c r="H1074" s="2646"/>
      <c r="I1074" s="2646"/>
      <c r="J1074" s="2646"/>
      <c r="K1074" s="2646"/>
    </row>
    <row r="1075" spans="1:11">
      <c r="A1075" s="683" t="str">
        <f>$A1047</f>
        <v>DCR Mortgage B</v>
      </c>
      <c r="B1075" s="2647">
        <f>IF(B1068=0,"",-(B1066+B1067)/B1068)</f>
        <v>-1.1105425009985133</v>
      </c>
      <c r="C1075" s="2647">
        <f>IF(C1068=0,"",-(C1066+C1067)/C1068)</f>
        <v>-1.1105425009985133</v>
      </c>
      <c r="D1075" s="2647">
        <f>IF(D1068=0,"",-(D1066+D1067)/D1068)</f>
        <v>-1.1105425009985133</v>
      </c>
      <c r="E1075" s="2647">
        <f>IF(E1068=0,"",-(E1066+E1067)/E1068)</f>
        <v>-1.1105425009985133</v>
      </c>
      <c r="F1075" s="2647">
        <f>IF(F1068=0,"",-(F1066+F1067)/F1068)</f>
        <v>-1.1105425009985133</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3738</v>
      </c>
      <c r="B1078" s="2647">
        <f>IF(AND(B1067=0,B1068=0,B1069=0,B1070=0),"",-B1066/(B1067+B1068+B1069+B1070))</f>
        <v>0</v>
      </c>
      <c r="C1078" s="2647">
        <f>IF(AND(C1067=0,C1068=0,C1069=0,C1070=0),"",-C1066/(C1067+C1068+C1069+C1070))</f>
        <v>0</v>
      </c>
      <c r="D1078" s="2647">
        <f>IF(AND(D1067=0,D1068=0,D1069=0,D1070=0),"",-D1066/(D1067+D1068+D1069+D1070))</f>
        <v>0</v>
      </c>
      <c r="E1078" s="2647">
        <f>IF(AND(E1067=0,E1068=0,E1069=0,E1070=0),"",-E1066/(E1067+E1068+E1069+E1070))</f>
        <v>0</v>
      </c>
      <c r="F1078" s="2647">
        <f>IF(AND(F1067=0,F1068=0,F1069=0,F1070=0),"",-F1066/(F1067+F1068+F1069+F1070))</f>
        <v>0</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-60831.817137804625</v>
      </c>
      <c r="C1080" s="2646">
        <f>'Part VII-Pro Forma'!C124</f>
        <v>-125576.44713972742</v>
      </c>
      <c r="D1080" s="2646">
        <f>'Part VII-Pro Forma'!D124</f>
        <v>-194485.56922939056</v>
      </c>
      <c r="E1080" s="2646">
        <f>'Part VII-Pro Forma'!E124</f>
        <v>-267827.05109479127</v>
      </c>
      <c r="F1080" s="2646">
        <f>'Part VII-Pro Forma'!F124</f>
        <v>-345885.99015969317</v>
      </c>
      <c r="G1080" s="2646"/>
      <c r="H1080" s="2646"/>
      <c r="I1080" s="2646"/>
      <c r="J1080" s="2646"/>
      <c r="K1080" s="2646"/>
    </row>
    <row r="1081" spans="1:11">
      <c r="A1081" s="683" t="s">
        <v>2635</v>
      </c>
      <c r="B1081" s="2646">
        <f>'Part VII-Pro Forma'!B125</f>
        <v>-53715.822505689051</v>
      </c>
      <c r="C1081" s="2646">
        <f>'Part VII-Pro Forma'!C125</f>
        <v>-108515.86427850298</v>
      </c>
      <c r="D1081" s="2646">
        <f>'Part VII-Pro Forma'!D125</f>
        <v>-164422.00958582055</v>
      </c>
      <c r="E1081" s="2646">
        <f>'Part VII-Pro Forma'!E125</f>
        <v>-221456.58441480272</v>
      </c>
      <c r="F1081" s="2646">
        <f>'Part VII-Pro Forma'!F125</f>
        <v>-279642.36538827635</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Development carries two fixed debt service amounts: 1) Mortgage A represents SunTrust conventional loan with fixed annual payments; and 2) Mortgage B represents Invest Atlanta Housing Opportunity Bond unresricted loan fixed annual payments.  Debt service coverage ratio is at or above 1.20 through Year 15.  Asset Management Fee equal to $4,600 to SunTrust (trending at 3%) and $2,500 to Invest Atlanta (not trending).</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2018-046 Abbington on Cheshire Bridge,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4793</v>
      </c>
      <c r="K1100" s="2653"/>
      <c r="L1100" s="2653"/>
      <c r="M1100" s="2653"/>
      <c r="N1100" s="2653"/>
      <c r="O1100" s="2653"/>
      <c r="P1100" s="2654">
        <f>'Part VIII-Threshold Criteria'!P6</f>
        <v>0</v>
      </c>
      <c r="Q1100" s="2654">
        <f>'Part VIII-Threshold Criteria'!Q6</f>
        <v>0</v>
      </c>
    </row>
    <row r="1101" spans="1:17">
      <c r="A1101" s="2655" t="s">
        <v>3473</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3779</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 xml:space="preserve">The Applicant has submitted an proposal which conforms to the 2018 QAP.   All costs for Development and Construction have been carefully underwritten by experienced estimators.  Federal ($0.85) and State ($0.53)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2017 maximum allowable rents as these were what was in effect on January 1, 2018 (per DCA instructions) but the most current utility allowances from Atlanta Housing Authority have been used as those have been confirmed to be in effect on January 1, 2018.  Total Developer Fee and Deferred Developer Fee are within 2018 QAP limits.  This property is ideally situated for a market starving for workforce housing as evidence by the massive public support we recieved in public meetings and the repeated statement of how rare it is for Atlanta to have the opportunity of affordable housing north of I-20 and in such a great school zone as well. </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2730</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4794</v>
      </c>
      <c r="B1131" s="2667"/>
      <c r="C1131" s="2667"/>
      <c r="D1131" s="2667"/>
      <c r="E1131" s="2667"/>
      <c r="F1131" s="2667"/>
      <c r="G1131" s="2474" t="s">
        <v>2734</v>
      </c>
      <c r="H1131" s="2474"/>
      <c r="I1131" s="2659"/>
      <c r="J1131" s="2355"/>
      <c r="K1131" s="2659" t="s">
        <v>3660</v>
      </c>
      <c r="L1131" s="2659"/>
      <c r="M1131" s="2659"/>
      <c r="N1131" s="2659"/>
    </row>
    <row r="1132" spans="1:17" ht="13.5">
      <c r="A1132" s="2667"/>
      <c r="B1132" s="2667"/>
      <c r="C1132" s="2667"/>
      <c r="D1132" s="2667"/>
      <c r="E1132" s="2667"/>
      <c r="F1132" s="2667"/>
      <c r="G1132" s="2474" t="s">
        <v>348</v>
      </c>
      <c r="H1132" s="2474"/>
      <c r="I1132" s="2659"/>
      <c r="J1132" s="2355"/>
      <c r="K1132" s="478" t="s">
        <v>3661</v>
      </c>
      <c r="L1132" s="478"/>
      <c r="M1132" s="478"/>
      <c r="N1132" s="478"/>
      <c r="P1132" s="2487" t="s">
        <v>2754</v>
      </c>
      <c r="Q1132" s="2668">
        <f>'Part VIII-Threshold Criteria'!Q38</f>
        <v>0</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2733</v>
      </c>
      <c r="F1134" s="2670" t="s">
        <v>3476</v>
      </c>
      <c r="G1134" s="2670" t="s">
        <v>3475</v>
      </c>
      <c r="H1134" s="2670"/>
      <c r="I1134" s="2670"/>
      <c r="K1134" s="2670" t="s">
        <v>3476</v>
      </c>
      <c r="L1134" s="2670" t="s">
        <v>3475</v>
      </c>
      <c r="M1134" s="2670"/>
      <c r="N1134" s="2670"/>
    </row>
    <row r="1135" spans="1:17" ht="12.75" customHeight="1">
      <c r="A1135" s="2671" t="s">
        <v>3380</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3921</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Atlanta</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3657</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11919387</v>
      </c>
      <c r="Q1139" s="2677">
        <f>'Part VIII-Threshold Criteria'!Q45</f>
        <v>0</v>
      </c>
    </row>
    <row r="1140" spans="1:17" ht="12.75" customHeight="1">
      <c r="C1140" s="2355"/>
      <c r="D1140" s="2678" t="s">
        <v>3390</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3375</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4133</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3655</v>
      </c>
      <c r="Q1146" s="478"/>
    </row>
    <row r="1147" spans="1:17">
      <c r="C1147" s="2355"/>
      <c r="D1147" s="2678" t="s">
        <v>3390</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3267</v>
      </c>
      <c r="Q1147" s="2571" t="s">
        <v>258</v>
      </c>
    </row>
    <row r="1148" spans="1:17">
      <c r="C1148" s="2355"/>
      <c r="D1148" s="2685"/>
      <c r="E1148" s="2685"/>
      <c r="F1148" s="2686"/>
      <c r="G1148" s="2687"/>
      <c r="I1148" s="2686"/>
      <c r="K1148" s="2686"/>
      <c r="M1148" s="2665"/>
      <c r="N1148" s="2686"/>
      <c r="O1148" s="2689"/>
    </row>
    <row r="1149" spans="1:17">
      <c r="A1149" s="2474" t="s">
        <v>3376</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3656</v>
      </c>
      <c r="Q1150" s="478"/>
    </row>
    <row r="1151" spans="1:17">
      <c r="C1151" s="2355"/>
      <c r="D1151" s="2672" t="s">
        <v>2457</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3267</v>
      </c>
      <c r="Q1151" s="2571" t="s">
        <v>258</v>
      </c>
    </row>
    <row r="1152" spans="1:17">
      <c r="C1152" s="2355"/>
      <c r="D1152" s="2672" t="s">
        <v>2458</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2789</v>
      </c>
      <c r="Q1153" s="2691"/>
    </row>
    <row r="1154" spans="1:17" ht="12.75" customHeight="1">
      <c r="C1154" s="2355"/>
      <c r="D1154" s="2678" t="s">
        <v>3390</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3377</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6</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6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11941094</v>
      </c>
      <c r="Q1157" s="2692">
        <f>'Part VIII-Threshold Criteria'!Q63</f>
        <v>0</v>
      </c>
    </row>
    <row r="1158" spans="1:17" ht="12.75" customHeight="1">
      <c r="C1158" s="2355"/>
      <c r="D1158" s="2672" t="s">
        <v>2457</v>
      </c>
      <c r="E1158" s="2660">
        <v>2</v>
      </c>
      <c r="F1158" s="2673">
        <f>'Part VI-Revenues &amp; Expenses'!$L$110</f>
        <v>8</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8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34</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34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4546</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3390</v>
      </c>
      <c r="E1161" s="2679"/>
      <c r="F1161" s="2680">
        <f>SUM(F1156:F1160)</f>
        <v>48</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3391</v>
      </c>
      <c r="B1163" s="2355"/>
      <c r="C1163" s="2355"/>
      <c r="D1163" s="2355"/>
      <c r="E1163" s="2556"/>
      <c r="F1163" s="2696">
        <f>F1140+F1147+F1154+F1161</f>
        <v>48</v>
      </c>
      <c r="G1163" s="2421"/>
      <c r="H1163" s="2697">
        <f>'Part VIII-Threshold Criteria'!H69</f>
        <v>11941094</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3779</v>
      </c>
      <c r="D1164" s="2599"/>
      <c r="E1164" s="2599"/>
      <c r="F1164" s="2599"/>
      <c r="G1164" s="2599"/>
      <c r="H1164" s="2598"/>
      <c r="I1164" s="2660"/>
      <c r="J1164" s="2660"/>
      <c r="K1164" s="2663" t="s">
        <v>1880</v>
      </c>
      <c r="L1164" s="2562"/>
      <c r="M1164" s="2562"/>
      <c r="N1164" s="2562"/>
      <c r="O1164" s="2562"/>
      <c r="P1164" s="2562"/>
      <c r="Q1164" s="2562"/>
    </row>
    <row r="1165" spans="1:17" ht="348.75">
      <c r="A1165" s="2662" t="str">
        <f>'Part VIII-Threshold Criteria'!A71</f>
        <v>The property consists of one residential elevator-served building.  Hard costs were determined by an experienced contractor and are within 2017 HUD cost limits as these were in effect on January 1, 2018 per DCA instructions.  Project total development costs do not exceed the HUD cost limits for its type.</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Family</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3779</v>
      </c>
      <c r="D1168" s="2599"/>
      <c r="E1168" s="2599"/>
      <c r="F1168" s="2599"/>
      <c r="G1168" s="2599"/>
      <c r="H1168" s="2598"/>
      <c r="I1168" s="2660"/>
      <c r="J1168" s="2660"/>
      <c r="K1168" s="2663" t="s">
        <v>1880</v>
      </c>
      <c r="L1168" s="2562"/>
      <c r="M1168" s="2562"/>
      <c r="N1168" s="2562"/>
      <c r="O1168" s="2562"/>
      <c r="P1168" s="2562"/>
      <c r="Q1168" s="2562"/>
    </row>
    <row r="1169" spans="1:17" ht="56.25">
      <c r="A1169" s="2662" t="str">
        <f>'Part VIII-Threshold Criteria'!A75</f>
        <v>This application is for family development.</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3768</v>
      </c>
      <c r="D1173" s="2687"/>
      <c r="E1173" s="2687"/>
      <c r="F1173" s="2687"/>
      <c r="G1173" s="2687"/>
      <c r="H1173" s="2687"/>
      <c r="I1173" s="2687"/>
      <c r="K1173" s="2687"/>
      <c r="L1173" s="2687"/>
      <c r="M1173" s="2700" t="s">
        <v>3722</v>
      </c>
      <c r="O1173" s="2662"/>
      <c r="P1173" s="2668" t="str">
        <f>'Part VIII-Threshold Criteria'!P79</f>
        <v>Agree</v>
      </c>
    </row>
    <row r="1174" spans="1:17">
      <c r="A1174" s="2701" t="s">
        <v>2001</v>
      </c>
      <c r="B1174" s="2598" t="s">
        <v>3767</v>
      </c>
      <c r="D1174" s="2598"/>
      <c r="E1174" s="2598"/>
      <c r="F1174" s="2598"/>
      <c r="G1174" s="2598"/>
      <c r="H1174" s="2598"/>
      <c r="I1174" s="2598"/>
      <c r="J1174" s="2598"/>
      <c r="K1174" s="2598"/>
      <c r="L1174" s="2598"/>
      <c r="M1174" s="2598"/>
      <c r="O1174" s="2598"/>
      <c r="P1174" s="2598"/>
      <c r="Q1174" s="2598"/>
    </row>
    <row r="1175" spans="1:17" ht="22.5">
      <c r="A1175" s="2702"/>
      <c r="B1175" s="2703" t="s">
        <v>1750</v>
      </c>
      <c r="C1175" s="2598" t="s">
        <v>3507</v>
      </c>
      <c r="E1175" s="2592"/>
      <c r="F1175" s="2592"/>
      <c r="G1175" s="2592"/>
      <c r="H1175" s="2355"/>
      <c r="I1175" s="478" t="s">
        <v>2724</v>
      </c>
      <c r="J1175" s="2704" t="str">
        <f>'Part VIII-Threshold Criteria'!J81</f>
        <v>Semi-Monthly Birthday Parties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c r="A1176" s="2702"/>
      <c r="B1176" s="2703" t="s">
        <v>1751</v>
      </c>
      <c r="C1176" s="2598" t="s">
        <v>3605</v>
      </c>
      <c r="E1176" s="2592"/>
      <c r="F1176" s="2592"/>
      <c r="G1176" s="2592"/>
      <c r="H1176" s="2355"/>
      <c r="I1176" s="478" t="s">
        <v>2724</v>
      </c>
      <c r="J1176" s="2704" t="str">
        <f>'Part VIII-Threshold Criteria'!J82</f>
        <v>Arts and Crafts</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78.75">
      <c r="A1177" s="2702"/>
      <c r="B1177" s="2703" t="s">
        <v>1752</v>
      </c>
      <c r="C1177" s="2598" t="s">
        <v>3606</v>
      </c>
      <c r="E1177" s="2592"/>
      <c r="F1177" s="2592"/>
      <c r="G1177" s="2592"/>
      <c r="H1177" s="2355"/>
      <c r="I1177" s="478" t="s">
        <v>2724</v>
      </c>
      <c r="J1177" s="2704" t="str">
        <f>'Part VIII-Threshold Criteria'!J83</f>
        <v xml:space="preserve">Healthy Eating Seminars Held Monthly (nutrition, food selection, food preparation, food sourcing)       </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3932</v>
      </c>
      <c r="E1178" s="2592"/>
      <c r="I1178" s="478" t="s">
        <v>2724</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3591</v>
      </c>
      <c r="D1179" s="2598"/>
      <c r="E1179" s="2592"/>
      <c r="J1179" s="478"/>
      <c r="K1179" s="478"/>
      <c r="L1179" s="478"/>
      <c r="M1179" s="478"/>
      <c r="N1179" s="478"/>
      <c r="O1179" s="478"/>
      <c r="P1179" s="478"/>
      <c r="Q1179" s="478"/>
    </row>
    <row r="1180" spans="1:17">
      <c r="A1180" s="2702"/>
      <c r="B1180" s="1156" t="s">
        <v>3923</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3779</v>
      </c>
      <c r="D1181" s="2599"/>
      <c r="E1181" s="2599"/>
      <c r="F1181" s="2599"/>
      <c r="G1181" s="2599"/>
      <c r="H1181" s="2598"/>
      <c r="I1181" s="2660"/>
      <c r="J1181" s="2660"/>
      <c r="K1181" s="2663" t="s">
        <v>1880</v>
      </c>
      <c r="L1181" s="2562"/>
      <c r="M1181" s="2562"/>
      <c r="N1181" s="2562"/>
      <c r="O1181" s="2562"/>
      <c r="P1181" s="2562"/>
      <c r="Q1181" s="2562"/>
    </row>
    <row r="1182" spans="1:17" ht="270">
      <c r="A1182" s="2662" t="str">
        <f>'Part VIII-Threshold Criteria'!A88</f>
        <v>Tenants will also be encouraged to utilize the community spaces for daily functions in addition to the above programs and enrichment classes.  Tenants will be encouraged to utilize on-site health screenings, seminars, fitness center, and garden.</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Real Property Research Group</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10 units/mo (4-5 mos total)</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2898</v>
      </c>
      <c r="D1188" s="2627"/>
      <c r="E1188" s="2627"/>
      <c r="F1188" s="2627"/>
      <c r="L1188" s="2703" t="s">
        <v>757</v>
      </c>
      <c r="M1188" s="2705">
        <f>'Part VIII-Threshold Criteria'!M94</f>
        <v>0.93500000000000005</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3925</v>
      </c>
      <c r="D1189" s="2627"/>
      <c r="E1189" s="2627"/>
      <c r="F1189" s="2627"/>
      <c r="L1189" s="2703" t="s">
        <v>3926</v>
      </c>
      <c r="M1189" s="2707">
        <f>'Part VIII-Threshold Criteria'!M95</f>
        <v>2.8000000000000001E-2</v>
      </c>
      <c r="N1189" s="2705"/>
      <c r="O1189" s="2708" t="s">
        <v>4176</v>
      </c>
      <c r="P1189" s="2709">
        <f>'Part VIII-Threshold Criteria'!P95</f>
        <v>3.0000000000000001E-3</v>
      </c>
      <c r="Q1189" s="2668">
        <f>'Part VIII-Threshold Criteria'!Q95</f>
        <v>0</v>
      </c>
    </row>
    <row r="1190" spans="1:17">
      <c r="A1190" s="2699" t="s">
        <v>1748</v>
      </c>
      <c r="B1190" s="2687" t="s">
        <v>3924</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f>'Part VIII-Threshold Criteria'!D98</f>
        <v>0</v>
      </c>
      <c r="E1192" s="2659" t="str">
        <f>'Part VIII-Threshold Criteria'!E98</f>
        <v>None</v>
      </c>
      <c r="F1192" s="2659">
        <f>'Part VIII-Threshold Criteria'!F98</f>
        <v>0</v>
      </c>
      <c r="G1192" s="2659">
        <f>'Part VIII-Threshold Criteria'!G98</f>
        <v>0</v>
      </c>
      <c r="H1192" s="2703" t="s">
        <v>1752</v>
      </c>
      <c r="I1192" s="2668">
        <f>'Part VIII-Threshold Criteria'!I98</f>
        <v>0</v>
      </c>
      <c r="J1192" s="2659">
        <f>'Part VIII-Threshold Criteria'!J98</f>
        <v>0</v>
      </c>
      <c r="K1192" s="2659">
        <f>'Part VIII-Threshold Criteria'!K98</f>
        <v>0</v>
      </c>
      <c r="L1192" s="2659">
        <f>'Part VIII-Threshold Criteria'!L98</f>
        <v>0</v>
      </c>
      <c r="M1192" s="2703" t="s">
        <v>1561</v>
      </c>
      <c r="N1192" s="2668">
        <f>'Part VIII-Threshold Criteria'!N98</f>
        <v>0</v>
      </c>
      <c r="O1192" s="2659">
        <f>'Part VIII-Threshold Criteria'!O98</f>
        <v>0</v>
      </c>
      <c r="P1192" s="2659">
        <f>'Part VIII-Threshold Criteria'!P98</f>
        <v>0</v>
      </c>
      <c r="Q1192" s="2659">
        <f>'Part VIII-Threshold Criteria'!Q98</f>
        <v>0</v>
      </c>
    </row>
    <row r="1193" spans="1:17">
      <c r="C1193" s="2703" t="s">
        <v>1751</v>
      </c>
      <c r="D1193" s="2668">
        <f>'Part VIII-Threshold Criteria'!D99</f>
        <v>0</v>
      </c>
      <c r="E1193" s="2659">
        <f>'Part VIII-Threshold Criteria'!E99</f>
        <v>0</v>
      </c>
      <c r="F1193" s="2659">
        <f>'Part VIII-Threshold Criteria'!F99</f>
        <v>0</v>
      </c>
      <c r="G1193" s="2659">
        <f>'Part VIII-Threshold Criteria'!G99</f>
        <v>0</v>
      </c>
      <c r="H1193" s="2703" t="s">
        <v>2381</v>
      </c>
      <c r="I1193" s="2668">
        <f>'Part VIII-Threshold Criteria'!I99</f>
        <v>0</v>
      </c>
      <c r="J1193" s="2659">
        <f>'Part VIII-Threshold Criteria'!J99</f>
        <v>0</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2527</v>
      </c>
    </row>
    <row r="1196" spans="1:17" ht="12.75" customHeight="1">
      <c r="A1196" s="2699" t="s">
        <v>1962</v>
      </c>
      <c r="B1196" s="2662" t="s">
        <v>3638</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3392</v>
      </c>
      <c r="B1197" s="2662" t="s">
        <v>2749</v>
      </c>
      <c r="C1197" s="2662"/>
      <c r="D1197" s="2662"/>
      <c r="E1197" s="2662"/>
      <c r="F1197" s="2662"/>
      <c r="G1197" s="2662"/>
      <c r="H1197" s="2662"/>
      <c r="I1197" s="2662"/>
      <c r="J1197" s="2662"/>
      <c r="K1197" s="2662"/>
      <c r="L1197" s="2662"/>
      <c r="M1197" s="2662"/>
      <c r="N1197" s="2662"/>
      <c r="O1197" s="2662"/>
      <c r="P1197" s="2713" t="s">
        <v>3392</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3393</v>
      </c>
      <c r="B1199" s="2687" t="s">
        <v>3639</v>
      </c>
      <c r="C1199" s="2679"/>
      <c r="D1199" s="2679"/>
      <c r="E1199" s="2679"/>
      <c r="F1199" s="2679"/>
      <c r="G1199" s="2679"/>
      <c r="H1199" s="2679"/>
      <c r="I1199" s="2679"/>
      <c r="J1199" s="2679"/>
      <c r="K1199" s="2679"/>
      <c r="L1199" s="2715"/>
      <c r="M1199" s="2679"/>
      <c r="N1199" s="2711"/>
      <c r="O1199" s="2679"/>
      <c r="P1199" s="2703" t="s">
        <v>3393</v>
      </c>
      <c r="Q1199" s="2714">
        <f>'Part VIII-Threshold Criteria'!Q105</f>
        <v>0</v>
      </c>
    </row>
    <row r="1200" spans="1:17">
      <c r="B1200" s="2599" t="s">
        <v>3779</v>
      </c>
      <c r="D1200" s="2599"/>
      <c r="E1200" s="2599"/>
      <c r="F1200" s="2599"/>
      <c r="G1200" s="2599"/>
      <c r="H1200" s="2598"/>
      <c r="I1200" s="2660"/>
      <c r="J1200" s="2660"/>
      <c r="K1200" s="2660"/>
      <c r="L1200" s="2562"/>
      <c r="M1200" s="2562"/>
      <c r="N1200" s="2562"/>
      <c r="O1200" s="2562"/>
      <c r="P1200" s="2562"/>
      <c r="Q1200" s="2562"/>
    </row>
    <row r="1201" spans="1:17" ht="409.5">
      <c r="A1201" s="2662" t="str">
        <f>'Part VIII-Threshold Criteria'!A107</f>
        <v>DCA has not funded any LIHTC within the primary market area.  As a result, demand is high for affordable product and capture rates are low.  Market analyst estimates a demand for 1,453 units of affordable housing and an additional need for 2,631 units of market rate, resulting in an overall capture rate of 1.3%.  The overall capture rate for the LIHTC units is 2.8% and the overall capture rate for the market rate units is 0.30%.  Abbington on Cheshire Bridge would be located in Linridge Martin Manner, adjacent to Buckhead and Morningside areas of midtown Atlanta, both high-income area with few new affordable rental housing options.  Low capture rates indicate the development will lease up quickly and help meet a strong demand for affordable housing in the market.  The market study identified 18 market-rate communities in the primary market area and no LIHTC communities in the primary market area.</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3494</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3495</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2899</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No</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3779</v>
      </c>
      <c r="D1218" s="2599"/>
      <c r="E1218" s="2599"/>
      <c r="F1218" s="2599"/>
      <c r="G1218" s="2599"/>
      <c r="H1218" s="2598"/>
      <c r="I1218" s="2660"/>
      <c r="J1218" s="2660"/>
      <c r="K1218" s="2660"/>
      <c r="L1218" s="2562"/>
      <c r="M1218" s="2562"/>
      <c r="N1218" s="2562"/>
      <c r="O1218" s="2562"/>
      <c r="P1218" s="2562"/>
      <c r="Q1218" s="2562"/>
    </row>
    <row r="1219" spans="1:17" ht="135">
      <c r="A1219" s="2662" t="str">
        <f>'Part VIII-Threshold Criteria'!A125</f>
        <v>An appraisal is not required because there is not an identity of interest between the buyer and seller of the property.</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3662</v>
      </c>
      <c r="D1224" s="2627"/>
      <c r="E1224" s="2627"/>
      <c r="F1224" s="2627"/>
      <c r="G1224" s="2627"/>
      <c r="H1224" s="2627"/>
      <c r="I1224" s="2355"/>
      <c r="J1224" s="2355"/>
      <c r="K1224" s="2703" t="s">
        <v>1999</v>
      </c>
      <c r="L1224" s="2570" t="str">
        <f>'Part VIII-Threshold Criteria'!L130</f>
        <v>Geotechnical &amp; Environmental Consultants, Inc. (GEC)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Geotechnical &amp; Environmental Consultants, Inc. (GEC)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3496</v>
      </c>
      <c r="E1228" s="2355"/>
      <c r="F1228" s="2355"/>
      <c r="G1228" s="2355"/>
      <c r="H1228" s="478"/>
      <c r="I1228" s="2355"/>
      <c r="J1228" s="2355"/>
      <c r="K1228" s="2627"/>
      <c r="L1228" s="2592"/>
      <c r="M1228" s="2592"/>
      <c r="O1228" s="2703" t="s">
        <v>1751</v>
      </c>
      <c r="P1228" s="2668">
        <f>'Part VIII-Threshold Criteria'!P134</f>
        <v>72.5</v>
      </c>
      <c r="Q1228" s="2668">
        <f>'Part VIII-Threshold Criteria'!Q134</f>
        <v>0</v>
      </c>
    </row>
    <row r="1229" spans="1:17">
      <c r="A1229" s="2581"/>
      <c r="B1229" s="2703" t="s">
        <v>1752</v>
      </c>
      <c r="C1229" s="478" t="s">
        <v>4163</v>
      </c>
      <c r="E1229" s="2355"/>
      <c r="F1229" s="2355"/>
      <c r="G1229" s="2355"/>
      <c r="H1229" s="478"/>
      <c r="I1229" s="2355"/>
      <c r="J1229" s="2355"/>
      <c r="K1229" s="2627"/>
      <c r="L1229" s="2592"/>
      <c r="M1229" s="2592"/>
      <c r="N1229" s="2592"/>
      <c r="O1229" s="2592"/>
    </row>
    <row r="1230" spans="1:17">
      <c r="A1230" s="2562"/>
      <c r="B1230" s="2703"/>
      <c r="C1230" s="2627">
        <f>'Part VIII-Threshold Criteria'!C136</f>
        <v>0</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Yes</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0.18959999999999999</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t="str">
        <f>'Part VIII-Threshold Criteria'!P141</f>
        <v>No</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t="str">
        <f>'Part VIII-Threshold Criteria'!P142</f>
        <v>Yes</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5.0299999999999997E-2</v>
      </c>
      <c r="Q1238" s="2718">
        <f>'Part VIII-Threshold Criteria'!Q144</f>
        <v>0</v>
      </c>
    </row>
    <row r="1239" spans="1:17">
      <c r="A1239" s="2701"/>
      <c r="B1239" s="2703"/>
      <c r="E1239" s="2703" t="s">
        <v>2452</v>
      </c>
      <c r="F1239" s="478" t="s">
        <v>2654</v>
      </c>
      <c r="G1239" s="2355"/>
      <c r="H1239" s="478"/>
      <c r="I1239" s="2355"/>
      <c r="J1239" s="2355"/>
      <c r="O1239" s="2703" t="s">
        <v>2452</v>
      </c>
      <c r="P1239" s="2668" t="str">
        <f>'Part VIII-Threshold Criteria'!P145</f>
        <v>No</v>
      </c>
      <c r="Q1239" s="2668">
        <f>'Part VIII-Threshold Criteria'!Q145</f>
        <v>0</v>
      </c>
    </row>
    <row r="1240" spans="1:17">
      <c r="A1240" s="2701"/>
      <c r="B1240" s="2703"/>
      <c r="E1240" s="2703" t="s">
        <v>2453</v>
      </c>
      <c r="F1240" s="478" t="s">
        <v>2652</v>
      </c>
      <c r="G1240" s="2355"/>
      <c r="H1240" s="478"/>
      <c r="I1240" s="2355"/>
      <c r="J1240" s="2355"/>
      <c r="O1240" s="2703" t="s">
        <v>2453</v>
      </c>
      <c r="P1240" s="2668" t="str">
        <f>'Part VIII-Threshold Criteria'!P146</f>
        <v>Yes</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t="str">
        <f>'Part VIII-Threshold Criteria'!P147</f>
        <v>Yes</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2822</v>
      </c>
      <c r="E1244" s="2627"/>
      <c r="F1244" s="2668" t="str">
        <f>'Part VIII-Threshold Criteria'!F150</f>
        <v>Yes</v>
      </c>
      <c r="G1244" s="2668">
        <f>'Part VIII-Threshold Criteria'!G150</f>
        <v>0</v>
      </c>
      <c r="H1244" s="2703" t="s">
        <v>1562</v>
      </c>
      <c r="I1244" s="1156" t="s">
        <v>2658</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3874</v>
      </c>
      <c r="L1245" s="2668" t="str">
        <f>'Part VIII-Threshold Criteria'!L151</f>
        <v>No</v>
      </c>
      <c r="M1245" s="2668">
        <f>'Part VIII-Threshold Criteria'!M151</f>
        <v>0</v>
      </c>
      <c r="N1245" s="2703" t="s">
        <v>2824</v>
      </c>
      <c r="O1245" s="478" t="s">
        <v>1565</v>
      </c>
      <c r="P1245" s="2668" t="str">
        <f>'Part VIII-Threshold Criteria'!P151</f>
        <v>No</v>
      </c>
      <c r="Q1245" s="2668">
        <f>'Part VIII-Threshold Criteria'!Q151</f>
        <v>0</v>
      </c>
    </row>
    <row r="1246" spans="1:17">
      <c r="A1246" s="478"/>
      <c r="B1246" s="2703" t="s">
        <v>2381</v>
      </c>
      <c r="C1246" s="478" t="s">
        <v>2825</v>
      </c>
      <c r="E1246" s="2627"/>
      <c r="F1246" s="2668" t="str">
        <f>'Part VIII-Threshold Criteria'!F152</f>
        <v>No</v>
      </c>
      <c r="G1246" s="2668">
        <f>'Part VIII-Threshold Criteria'!G152</f>
        <v>0</v>
      </c>
      <c r="H1246" s="2703" t="s">
        <v>516</v>
      </c>
      <c r="I1246" s="478" t="s">
        <v>2821</v>
      </c>
      <c r="L1246" s="2668" t="str">
        <f>'Part VIII-Threshold Criteria'!L152</f>
        <v>No</v>
      </c>
      <c r="M1246" s="2668">
        <f>'Part VIII-Threshold Criteria'!M152</f>
        <v>0</v>
      </c>
      <c r="O1246" s="2703"/>
    </row>
    <row r="1247" spans="1:17">
      <c r="A1247" s="478"/>
      <c r="B1247" s="2703" t="s">
        <v>2913</v>
      </c>
      <c r="C1247" s="478" t="s">
        <v>2823</v>
      </c>
      <c r="E1247" s="2627"/>
      <c r="F1247" s="2627"/>
      <c r="G1247" s="2627"/>
      <c r="H1247" s="2627"/>
      <c r="I1247" s="2627"/>
      <c r="J1247" s="2627"/>
      <c r="K1247" s="2627"/>
      <c r="L1247" s="2627"/>
      <c r="M1247" s="478"/>
      <c r="O1247" s="2703"/>
      <c r="P1247" s="2703"/>
    </row>
    <row r="1248" spans="1:17" ht="101.25">
      <c r="A1248" s="478"/>
      <c r="C1248" s="2627" t="str">
        <f>'Part VIII-Threshold Criteria'!C154</f>
        <v>No other significant issues were identified that would pose major obstacles to the proposed development</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3594</v>
      </c>
      <c r="D1249" s="2627"/>
      <c r="E1249" s="2627"/>
      <c r="F1249" s="2627"/>
      <c r="G1249" s="2627"/>
      <c r="H1249" s="2627"/>
      <c r="I1249" s="2355"/>
      <c r="J1249" s="2355"/>
      <c r="K1249" s="2627"/>
      <c r="L1249" s="2627"/>
      <c r="M1249" s="2592"/>
    </row>
    <row r="1250" spans="1:17">
      <c r="A1250" s="2355"/>
      <c r="B1250" s="2703" t="s">
        <v>1750</v>
      </c>
      <c r="C1250" s="478" t="s">
        <v>2826</v>
      </c>
      <c r="E1250" s="2627"/>
      <c r="F1250" s="2627"/>
      <c r="G1250" s="2627"/>
      <c r="H1250" s="2627"/>
      <c r="O1250" s="2703" t="s">
        <v>1750</v>
      </c>
      <c r="P1250" s="2668" t="str">
        <f>'Part VIII-Threshold Criteria'!P156</f>
        <v>No</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t="str">
        <f>'Part VIII-Threshold Criteria'!P157</f>
        <v>No</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t="str">
        <f>'Part VIII-Threshold Criteria'!P158</f>
        <v>No</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t="str">
        <f>'Part VIII-Threshold Criteria'!P159</f>
        <v>N/A</v>
      </c>
      <c r="Q1253" s="2668">
        <f>'Part VIII-Threshold Criteria'!Q159</f>
        <v>0</v>
      </c>
    </row>
    <row r="1254" spans="1:17">
      <c r="A1254" s="2719" t="s">
        <v>3486</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3392</v>
      </c>
      <c r="B1255" s="2662" t="s">
        <v>4795</v>
      </c>
      <c r="C1255" s="2662"/>
      <c r="D1255" s="2662"/>
      <c r="E1255" s="2662"/>
      <c r="F1255" s="2662"/>
      <c r="G1255" s="2662"/>
      <c r="H1255" s="2662"/>
      <c r="I1255" s="2662"/>
      <c r="J1255" s="2662"/>
      <c r="K1255" s="2662"/>
      <c r="L1255" s="2662"/>
      <c r="M1255" s="2713" t="s">
        <v>3392</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t="str">
        <f>'Part VIII-Threshold Criteria'!H162</f>
        <v>NA</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3393</v>
      </c>
      <c r="B1257" s="2598" t="s">
        <v>1427</v>
      </c>
      <c r="C1257" s="2355"/>
      <c r="D1257" s="2716"/>
      <c r="E1257" s="2716"/>
      <c r="F1257" s="2716"/>
      <c r="G1257" s="2554"/>
      <c r="H1257" s="2554"/>
      <c r="I1257" s="2598"/>
      <c r="J1257" s="2355"/>
      <c r="K1257" s="2554"/>
      <c r="L1257" s="2554"/>
      <c r="M1257" s="2554"/>
      <c r="N1257" s="2355"/>
      <c r="O1257" s="2703" t="s">
        <v>3393</v>
      </c>
      <c r="P1257" s="2668">
        <f>'Part VIII-Threshold Criteria'!P163</f>
        <v>0</v>
      </c>
      <c r="Q1257" s="2668">
        <f>'Part VIII-Threshold Criteria'!Q163</f>
        <v>0</v>
      </c>
    </row>
    <row r="1258" spans="1:17">
      <c r="B1258" s="2599" t="s">
        <v>3779</v>
      </c>
      <c r="D1258" s="2599"/>
      <c r="E1258" s="2599"/>
      <c r="F1258" s="2599"/>
      <c r="G1258" s="2599"/>
      <c r="H1258" s="2598"/>
      <c r="I1258" s="2660"/>
      <c r="J1258" s="2660"/>
      <c r="K1258" s="2660"/>
      <c r="L1258" s="2562"/>
      <c r="M1258" s="2562"/>
      <c r="N1258" s="2562"/>
      <c r="O1258" s="2562"/>
      <c r="P1258" s="2562"/>
      <c r="Q1258" s="2562"/>
    </row>
    <row r="1259" spans="1:17" ht="409.5">
      <c r="A1259" s="2662" t="str">
        <f>'Part VIII-Threshold Criteria'!A165</f>
        <v>Wetlands and a 100-year floodplain were identified on a small portion of the north end of the property.  No development activity will occur in these areas.  Noise levels were projected above the 65 dB mitigation level but below the 75 dB avoidane level.  All recommended mitigation measures will be followed and no outdoor amenities will be located within the 65 dB noise line on the property.  No other environmental issues were identified.</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4547</v>
      </c>
      <c r="D1265" s="478"/>
      <c r="E1265" s="478"/>
      <c r="F1265" s="478"/>
      <c r="G1265" s="478"/>
      <c r="I1265" s="478" t="s">
        <v>2726</v>
      </c>
      <c r="K1265" s="2721">
        <f>'Part VIII-Threshold Criteria'!K171</f>
        <v>43465</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RVLH Acquisitions, Inc.</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2901</v>
      </c>
      <c r="D1268" s="2687"/>
      <c r="E1268" s="2687"/>
      <c r="F1268" s="2687"/>
      <c r="G1268" s="2687"/>
      <c r="H1268" s="2687"/>
      <c r="J1268" s="2703"/>
      <c r="K1268" s="2703"/>
      <c r="L1268" s="2703"/>
      <c r="M1268" s="2703"/>
      <c r="N1268" s="2703"/>
      <c r="O1268" s="2703" t="s">
        <v>2131</v>
      </c>
      <c r="P1268" s="2668" t="str">
        <f>'Part VIII-Threshold Criteria'!P174</f>
        <v>No</v>
      </c>
      <c r="Q1268" s="2668">
        <f>'Part VIII-Threshold Criteria'!Q174</f>
        <v>0</v>
      </c>
    </row>
    <row r="1269" spans="1:17">
      <c r="B1269" s="2599" t="s">
        <v>3779</v>
      </c>
      <c r="D1269" s="2599"/>
      <c r="E1269" s="2599"/>
      <c r="F1269" s="2599"/>
      <c r="G1269" s="2599"/>
      <c r="H1269" s="2598"/>
      <c r="I1269" s="2660"/>
      <c r="J1269" s="2660"/>
      <c r="K1269" s="2660"/>
      <c r="L1269" s="2562"/>
      <c r="M1269" s="2562"/>
      <c r="N1269" s="2562"/>
      <c r="O1269" s="2562"/>
      <c r="P1269" s="2562"/>
      <c r="Q1269" s="2562"/>
    </row>
    <row r="1270" spans="1:17" ht="236.25">
      <c r="A1270" s="2662" t="str">
        <f>'Part VIII-Threshold Criteria'!A176</f>
        <v>RVLH Acquisitions, LLC is a wholly-owned subsidiary of Rea Ventures Group, LLC.  The purchase agreement has been assigned to the ownership entity, Atlanta Abbington on Cheshire Bridge, LP.</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3769</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3663</v>
      </c>
      <c r="C1276" s="2662"/>
      <c r="D1276" s="2662"/>
      <c r="E1276" s="2662"/>
      <c r="F1276" s="2662"/>
      <c r="G1276" s="2662"/>
      <c r="H1276" s="2662"/>
      <c r="I1276" s="2662"/>
      <c r="J1276" s="2662"/>
      <c r="K1276" s="2662"/>
      <c r="L1276" s="2662"/>
      <c r="M1276" s="2662"/>
      <c r="N1276" s="2662"/>
      <c r="O1276" s="2713" t="s">
        <v>2001</v>
      </c>
      <c r="P1276" s="2714" t="str">
        <f>'Part VIII-Threshold Criteria'!P182</f>
        <v>No</v>
      </c>
      <c r="Q1276" s="2714">
        <f>'Part VIII-Threshold Criteria'!Q182</f>
        <v>0</v>
      </c>
    </row>
    <row r="1277" spans="1:17" ht="12.75" customHeight="1">
      <c r="A1277" s="2699" t="s">
        <v>757</v>
      </c>
      <c r="B1277" s="2662" t="s">
        <v>3770</v>
      </c>
      <c r="C1277" s="2662"/>
      <c r="D1277" s="2662"/>
      <c r="E1277" s="2662"/>
      <c r="F1277" s="2662"/>
      <c r="G1277" s="2662"/>
      <c r="H1277" s="2662"/>
      <c r="I1277" s="2662"/>
      <c r="J1277" s="2662"/>
      <c r="K1277" s="2662"/>
      <c r="L1277" s="2662"/>
      <c r="M1277" s="2662"/>
      <c r="N1277" s="2662"/>
      <c r="O1277" s="2713" t="s">
        <v>757</v>
      </c>
      <c r="P1277" s="2714" t="str">
        <f>'Part VIII-Threshold Criteria'!P183</f>
        <v>No</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t="str">
        <f>'Part VIII-Threshold Criteria'!P184</f>
        <v>No</v>
      </c>
      <c r="Q1278" s="2714">
        <f>'Part VIII-Threshold Criteria'!Q184</f>
        <v>0</v>
      </c>
    </row>
    <row r="1279" spans="1:17">
      <c r="B1279" s="2599" t="s">
        <v>3779</v>
      </c>
      <c r="D1279" s="2599"/>
      <c r="E1279" s="2599"/>
      <c r="F1279" s="2599"/>
      <c r="G1279" s="2599"/>
      <c r="H1279" s="2598"/>
      <c r="I1279" s="2660"/>
      <c r="J1279" s="2660"/>
      <c r="K1279" s="2660"/>
      <c r="L1279" s="2562"/>
      <c r="M1279" s="2562"/>
      <c r="N1279" s="2562"/>
      <c r="O1279" s="2562"/>
      <c r="P1279" s="2562"/>
      <c r="Q1279" s="2562"/>
    </row>
    <row r="1280" spans="1:17" ht="180">
      <c r="A1280" s="2662" t="str">
        <f>'Part VIII-Threshold Criteria'!A186</f>
        <v>The site is already accessible by paved public roads (Cheshire Bridge Road).  No documentation is needed evidencing approval to pave any additional roads.</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4796</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3771</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3927</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3779</v>
      </c>
      <c r="D1296" s="2599"/>
      <c r="E1296" s="2599"/>
      <c r="F1296" s="2599"/>
      <c r="G1296" s="2599"/>
      <c r="H1296" s="2598"/>
      <c r="I1296" s="2660"/>
      <c r="J1296" s="2660"/>
      <c r="K1296" s="2660"/>
      <c r="L1296" s="2562"/>
      <c r="M1296" s="2562"/>
      <c r="N1296" s="2562"/>
      <c r="O1296" s="2562"/>
      <c r="P1296" s="2562"/>
      <c r="Q1296" s="2562"/>
    </row>
    <row r="1297" spans="1:17" ht="315">
      <c r="A1297" s="2662" t="str">
        <f>'Part VIII-Threshold Criteria'!A203</f>
        <v>The site is zoned appropriately for its intended use.  The site is zoned MRC-1-C (Mixed Residential Commercial District Regulations 1 with conditions).  Multi-family residential is a permitted use within this district and the conditions do not impede the proposed development.</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Not Applicable - property will be all electric</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3779</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247.5">
      <c r="A1304" s="2662" t="str">
        <f>'Part VIII-Threshold Criteria'!A210</f>
        <v xml:space="preserve">No Gas will be utilitzed on the subject development as the property will be all electric.  A letter from Georgia Power (signed and on letterhead) is included in the application to verify electricity service and capacity.  </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City of Atlanta</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Atlanta</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3934</v>
      </c>
      <c r="D1314" s="478"/>
      <c r="E1314" s="478"/>
      <c r="F1314" s="478"/>
      <c r="G1314" s="478"/>
      <c r="H1314" s="478"/>
      <c r="I1314" s="478"/>
      <c r="J1314" s="478"/>
      <c r="K1314" s="2355"/>
      <c r="L1314" s="478"/>
      <c r="M1314" s="478"/>
      <c r="O1314" s="2703" t="s">
        <v>757</v>
      </c>
      <c r="P1314" s="2668">
        <f>'Part VIII-Threshold Criteria'!P220</f>
        <v>0</v>
      </c>
      <c r="Q1314" s="2668">
        <f>'Part VIII-Threshold Criteria'!Q220</f>
        <v>0</v>
      </c>
    </row>
    <row r="1315" spans="1:17">
      <c r="A1315" s="2701" t="s">
        <v>2131</v>
      </c>
      <c r="B1315" s="478" t="s">
        <v>3935</v>
      </c>
      <c r="D1315" s="478"/>
      <c r="E1315" s="478"/>
      <c r="F1315" s="478"/>
      <c r="G1315" s="478"/>
      <c r="H1315" s="478"/>
      <c r="I1315" s="478"/>
      <c r="J1315" s="478"/>
      <c r="K1315" s="2355"/>
      <c r="L1315" s="478"/>
      <c r="M1315" s="478"/>
      <c r="O1315" s="2703" t="s">
        <v>2131</v>
      </c>
      <c r="P1315" s="2668">
        <f>'Part VIII-Threshold Criteria'!P221</f>
        <v>0</v>
      </c>
      <c r="Q1315" s="2668">
        <f>'Part VIII-Threshold Criteria'!Q221</f>
        <v>0</v>
      </c>
    </row>
    <row r="1316" spans="1:17">
      <c r="B1316" s="2599" t="s">
        <v>3779</v>
      </c>
      <c r="D1316" s="2599"/>
      <c r="E1316" s="2599"/>
      <c r="F1316" s="2599"/>
      <c r="G1316" s="2599"/>
      <c r="H1316" s="2598"/>
      <c r="I1316" s="2660"/>
      <c r="J1316" s="2660"/>
      <c r="K1316" s="2660"/>
      <c r="L1316" s="2562"/>
      <c r="M1316" s="2562"/>
      <c r="N1316" s="2562"/>
      <c r="O1316" s="2562"/>
      <c r="P1316" s="2562"/>
      <c r="Q1316" s="2562"/>
    </row>
    <row r="1317" spans="1:17" ht="225">
      <c r="A1317" s="2662" t="str">
        <f>'Part VIII-Threshold Criteria'!A223</f>
        <v>City of Atlanta Water System provides both public water and sewer service to the subject property.  Water lines and sewer lines are existing at the subject property as shown on the property survey.</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4797</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2742</v>
      </c>
      <c r="E1325" s="2598"/>
      <c r="F1325" s="2598"/>
      <c r="G1325" s="2598"/>
      <c r="H1325" s="2598"/>
      <c r="I1325" s="2355"/>
      <c r="J1325" s="2703" t="s">
        <v>1499</v>
      </c>
      <c r="K1325" s="2659" t="str">
        <f>'Part VIII-Threshold Criteria'!K231</f>
        <v>Covered Porch</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4798</v>
      </c>
      <c r="D1328" s="478"/>
      <c r="E1328" s="478"/>
      <c r="F1328" s="478"/>
      <c r="G1328" s="478"/>
      <c r="H1328" s="478"/>
      <c r="I1328" s="478"/>
      <c r="J1328" s="478"/>
      <c r="K1328" s="2355"/>
      <c r="L1328" s="2355"/>
      <c r="M1328" s="2355"/>
      <c r="N1328" s="2355"/>
      <c r="O1328" s="2355"/>
      <c r="P1328" s="2725" t="s">
        <v>2</v>
      </c>
      <c r="Q1328" s="2725"/>
    </row>
    <row r="1329" spans="1:17">
      <c r="A1329" s="2701"/>
      <c r="C1329" s="478" t="s">
        <v>2744</v>
      </c>
      <c r="D1329" s="478"/>
      <c r="E1329" s="478"/>
      <c r="F1329" s="478"/>
      <c r="H1329" s="2727" t="s">
        <v>781</v>
      </c>
      <c r="I1329" s="2357" t="s">
        <v>782</v>
      </c>
      <c r="K1329" s="478" t="s">
        <v>2744</v>
      </c>
      <c r="M1329" s="2355"/>
      <c r="N1329" s="2355"/>
      <c r="O1329" s="2727"/>
      <c r="P1329" s="2415" t="s">
        <v>781</v>
      </c>
      <c r="Q1329" s="2357" t="s">
        <v>782</v>
      </c>
    </row>
    <row r="1330" spans="1:17" ht="45">
      <c r="A1330" s="2668"/>
      <c r="B1330" s="2703" t="s">
        <v>1750</v>
      </c>
      <c r="C1330" s="2662" t="str">
        <f>'Part VIII-Threshold Criteria'!C236</f>
        <v>Furnished Exercise / Fitness Center</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 xml:space="preserve">  </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Equipped Computer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3488</v>
      </c>
      <c r="E1333" s="478"/>
      <c r="F1333" s="478"/>
      <c r="L1333" s="2355"/>
      <c r="M1333" s="2355"/>
      <c r="O1333" s="2703" t="s">
        <v>1750</v>
      </c>
      <c r="P1333" s="2668" t="str">
        <f>'Part VIII-Threshold Criteria'!P239</f>
        <v>Yes</v>
      </c>
      <c r="Q1333" s="2668">
        <f>'Part VIII-Threshold Criteria'!Q239</f>
        <v>0</v>
      </c>
    </row>
    <row r="1334" spans="1:17">
      <c r="B1334" s="2703" t="s">
        <v>1751</v>
      </c>
      <c r="C1334" s="2598" t="s">
        <v>2827</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2828</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2829</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2830</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2818</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2819</v>
      </c>
      <c r="P1339" s="2668" t="str">
        <f>'Part VIII-Threshold Criteria'!P245</f>
        <v>No</v>
      </c>
      <c r="Q1339" s="2668">
        <f>'Part VIII-Threshold Criteria'!Q245</f>
        <v>0</v>
      </c>
    </row>
    <row r="1340" spans="1:17">
      <c r="A1340" s="2701" t="s">
        <v>2131</v>
      </c>
      <c r="B1340" s="478" t="s">
        <v>3688</v>
      </c>
      <c r="C1340" s="478"/>
      <c r="E1340" s="478"/>
      <c r="F1340" s="478"/>
      <c r="G1340" s="478"/>
      <c r="H1340" s="478"/>
      <c r="I1340" s="478"/>
      <c r="J1340" s="478"/>
      <c r="K1340" s="2355"/>
      <c r="L1340" s="478"/>
      <c r="M1340" s="478"/>
      <c r="O1340" s="2703" t="s">
        <v>2131</v>
      </c>
      <c r="P1340" s="2668" t="str">
        <f>'Part VIII-Threshold Criteria'!P246</f>
        <v>N/A</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t="str">
        <f>'Part VIII-Threshold Criteria'!P247</f>
        <v>Yes</v>
      </c>
      <c r="Q1341" s="2668">
        <f>'Part VIII-Threshold Criteria'!Q247</f>
        <v>0</v>
      </c>
    </row>
    <row r="1342" spans="1:17">
      <c r="B1342" s="2703" t="s">
        <v>1751</v>
      </c>
      <c r="C1342" s="478" t="s">
        <v>3936</v>
      </c>
      <c r="E1342" s="2355"/>
      <c r="F1342" s="2355"/>
      <c r="G1342" s="2598"/>
      <c r="H1342" s="2598"/>
      <c r="I1342" s="2355"/>
      <c r="J1342" s="2598"/>
      <c r="K1342" s="2355"/>
      <c r="L1342" s="2598"/>
      <c r="M1342" s="2598"/>
      <c r="O1342" s="2703" t="s">
        <v>1751</v>
      </c>
      <c r="P1342" s="2668">
        <f>'Part VIII-Threshold Criteria'!P248</f>
        <v>0</v>
      </c>
      <c r="Q1342" s="2668">
        <f>'Part VIII-Threshold Criteria'!Q248</f>
        <v>0</v>
      </c>
    </row>
    <row r="1343" spans="1:17">
      <c r="B1343" s="2599" t="s">
        <v>3779</v>
      </c>
      <c r="D1343" s="2599"/>
      <c r="E1343" s="2599"/>
      <c r="F1343" s="2599"/>
      <c r="G1343" s="2599"/>
      <c r="H1343" s="2598"/>
      <c r="I1343" s="2660"/>
      <c r="J1343" s="2660"/>
      <c r="K1343" s="2660"/>
      <c r="L1343" s="2562"/>
      <c r="M1343" s="2562"/>
      <c r="N1343" s="2562"/>
      <c r="O1343" s="2562"/>
      <c r="P1343" s="2562"/>
      <c r="Q1343" s="2562"/>
    </row>
    <row r="1344" spans="1:17" ht="360">
      <c r="A1344" s="2662" t="str">
        <f>'Part VIII-Threshold Criteria'!A250</f>
        <v xml:space="preserve">The amenities are appropriatly geared towards a family tenancy.  Property will include a heath screening area and a community garden.  Although property is not a Senior or Special Needs project, its partial-podium construction will be necessary to provide appropriate tenant and handicap access to all units.  </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2801</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2831</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3786</v>
      </c>
      <c r="D1354" s="478"/>
      <c r="E1354" s="478"/>
      <c r="F1354" s="478"/>
      <c r="M1354" s="478"/>
      <c r="N1354" s="2728"/>
      <c r="O1354" s="2703" t="s">
        <v>757</v>
      </c>
      <c r="P1354" s="2668">
        <f>'Part VIII-Threshold Criteria'!P260</f>
        <v>0</v>
      </c>
      <c r="Q1354" s="2668">
        <f>'Part VIII-Threshold Criteria'!Q260</f>
        <v>0</v>
      </c>
    </row>
    <row r="1355" spans="1:17">
      <c r="A1355" s="2701"/>
      <c r="B1355" s="478" t="s">
        <v>3785</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3937</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3787</v>
      </c>
      <c r="C1357" s="2662"/>
      <c r="D1357" s="2662"/>
      <c r="E1357" s="2662"/>
      <c r="F1357" s="2662"/>
      <c r="G1357" s="2662"/>
      <c r="H1357" s="1156" t="s">
        <v>4164</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4165</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4166</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4167</v>
      </c>
      <c r="K1360" s="2355"/>
      <c r="M1360" s="478"/>
      <c r="N1360" s="2728"/>
      <c r="O1360" s="2703" t="s">
        <v>2381</v>
      </c>
      <c r="P1360" s="2668">
        <f>'Part VIII-Threshold Criteria'!P266</f>
        <v>0</v>
      </c>
      <c r="Q1360" s="2668">
        <f>'Part VIII-Threshold Criteria'!Q266</f>
        <v>0</v>
      </c>
    </row>
    <row r="1361" spans="1:17" ht="12.75" customHeight="1">
      <c r="A1361" s="2699" t="s">
        <v>1748</v>
      </c>
      <c r="B1361" s="2662" t="s">
        <v>4799</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3779</v>
      </c>
      <c r="D1362" s="2599"/>
      <c r="E1362" s="2599"/>
      <c r="F1362" s="2599"/>
      <c r="G1362" s="2599"/>
      <c r="H1362" s="2598"/>
      <c r="I1362" s="2660"/>
      <c r="J1362" s="2660"/>
      <c r="K1362" s="2660"/>
      <c r="L1362" s="2562"/>
      <c r="M1362" s="2562"/>
      <c r="N1362" s="2562"/>
      <c r="O1362" s="2562"/>
      <c r="P1362" s="2562"/>
      <c r="Q1362" s="2562"/>
    </row>
    <row r="1363" spans="1:17" ht="101.25">
      <c r="A1363" s="2662" t="str">
        <f>'Part VIII-Threshold Criteria'!A269</f>
        <v>Site is new construction and therefore will not involve rehabilitation of existing structures.</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3939</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3782</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3783</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4168</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3784</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4169</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3779</v>
      </c>
      <c r="D1375" s="2599"/>
      <c r="E1375" s="2599"/>
      <c r="F1375" s="2599"/>
      <c r="G1375" s="2599"/>
      <c r="H1375" s="2598"/>
      <c r="I1375" s="2660"/>
      <c r="J1375" s="2660"/>
      <c r="K1375" s="2660"/>
      <c r="L1375" s="2562"/>
      <c r="M1375" s="2562"/>
      <c r="N1375" s="2562"/>
      <c r="O1375" s="2562"/>
      <c r="P1375" s="2562"/>
      <c r="Q1375" s="2562"/>
    </row>
    <row r="1376" spans="1:17" ht="180">
      <c r="A1376" s="2662" t="str">
        <f>'Part VIII-Threshold Criteria'!A282</f>
        <v>Site plan shows all relevant information required by QAP and are produced by Martin Riley Associates.  This is a perfect use for this particular property.</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4150</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2832</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2833</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3779</v>
      </c>
      <c r="D1383" s="2599"/>
      <c r="E1383" s="2599"/>
      <c r="F1383" s="2599"/>
      <c r="G1383" s="2599"/>
      <c r="H1383" s="2598"/>
      <c r="I1383" s="2660"/>
      <c r="J1383" s="2660"/>
      <c r="K1383" s="2660"/>
      <c r="L1383" s="2562"/>
      <c r="M1383" s="2562"/>
      <c r="N1383" s="2562"/>
      <c r="O1383" s="2562"/>
      <c r="P1383" s="2562"/>
      <c r="Q1383" s="2562"/>
    </row>
    <row r="1384" spans="1:17" ht="191.25">
      <c r="A1384" s="2662" t="str">
        <f>'Part VIII-Threshold Criteria'!A290</f>
        <v>The applicant will prioritize the sustainability of the affordable housing development.  Applicant plans to pursue Enterprise Green Communities certification.</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4151</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4800</v>
      </c>
    </row>
    <row r="1389" spans="1:17" ht="12.75" customHeight="1">
      <c r="A1389" s="2699"/>
      <c r="B1389" s="2713" t="s">
        <v>1750</v>
      </c>
      <c r="C1389" s="2662" t="s">
        <v>3941</v>
      </c>
      <c r="D1389" s="2662"/>
      <c r="E1389" s="2662"/>
      <c r="F1389" s="2662"/>
      <c r="G1389" s="2662"/>
      <c r="H1389" s="2662"/>
      <c r="I1389" s="2662"/>
      <c r="J1389" s="2662"/>
      <c r="K1389" s="2662"/>
      <c r="L1389" s="2662"/>
      <c r="M1389" s="2662"/>
      <c r="N1389" s="2662"/>
      <c r="O1389" s="2713" t="s">
        <v>2745</v>
      </c>
      <c r="P1389" s="2714" t="str">
        <f>'Part VIII-Threshold Criteria'!P295</f>
        <v>Yes</v>
      </c>
      <c r="Q1389" s="2714">
        <f>'Part VIII-Threshold Criteria'!Q295</f>
        <v>0</v>
      </c>
    </row>
    <row r="1390" spans="1:17" ht="12.75" customHeight="1">
      <c r="A1390" s="2699"/>
      <c r="B1390" s="2713" t="s">
        <v>1751</v>
      </c>
      <c r="C1390" s="2662" t="s">
        <v>3942</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3940</v>
      </c>
      <c r="D1391" s="2662"/>
      <c r="E1391" s="2662"/>
      <c r="F1391" s="2662"/>
      <c r="G1391" s="2662"/>
      <c r="H1391" s="2662"/>
      <c r="I1391" s="2662"/>
      <c r="J1391" s="2662"/>
      <c r="K1391" s="2662"/>
      <c r="L1391" s="2662"/>
      <c r="M1391" s="2662"/>
      <c r="N1391" s="2662"/>
      <c r="O1391" s="2713" t="s">
        <v>1752</v>
      </c>
      <c r="P1391" s="2714">
        <f>'Part VIII-Threshold Criteria'!P297</f>
        <v>0</v>
      </c>
      <c r="Q1391" s="2714">
        <f>'Part VIII-Threshold Criteria'!Q297</f>
        <v>0</v>
      </c>
    </row>
    <row r="1392" spans="1:17">
      <c r="A1392" s="2586" t="s">
        <v>2001</v>
      </c>
      <c r="B1392" s="2545" t="s">
        <v>3906</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4801</v>
      </c>
      <c r="D1393" s="2662"/>
      <c r="E1393" s="2662"/>
      <c r="F1393" s="2662"/>
      <c r="G1393" s="2662"/>
      <c r="H1393" s="2662"/>
      <c r="I1393" s="2687"/>
      <c r="J1393" s="2670" t="s">
        <v>3821</v>
      </c>
      <c r="K1393" s="2725"/>
      <c r="L1393" s="2725"/>
      <c r="M1393" s="2732" t="s">
        <v>3789</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3790</v>
      </c>
      <c r="N1394" s="2660" t="s">
        <v>3820</v>
      </c>
      <c r="O1394" s="2351"/>
      <c r="P1394" s="2373"/>
      <c r="Q1394" s="2351"/>
    </row>
    <row r="1395" spans="1:17">
      <c r="A1395" s="2354"/>
      <c r="B1395" s="2351"/>
      <c r="C1395" s="2662"/>
      <c r="D1395" s="2662"/>
      <c r="E1395" s="2662"/>
      <c r="F1395" s="2662"/>
      <c r="G1395" s="2662"/>
      <c r="H1395" s="2662"/>
      <c r="I1395" s="478" t="s">
        <v>4171</v>
      </c>
      <c r="J1395" s="2351"/>
      <c r="K1395" s="2733">
        <f>'Part VIII-Threshold Criteria'!K301</f>
        <v>3</v>
      </c>
      <c r="L1395" s="2352" t="str">
        <f>IF(K1395&lt;M1395,"Check!!!","")</f>
        <v/>
      </c>
      <c r="M1395" s="2734">
        <f>'Part VIII-Threshold Criteria'!M301</f>
        <v>3</v>
      </c>
      <c r="N1395" s="2735">
        <f>'DCA Underwriting Assumptions'!$Q$136</f>
        <v>0.05</v>
      </c>
      <c r="O1395" s="2703" t="s">
        <v>3664</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4802</v>
      </c>
      <c r="D1397" s="2662"/>
      <c r="E1397" s="2662"/>
      <c r="F1397" s="2662"/>
      <c r="G1397" s="2662"/>
      <c r="H1397" s="2662"/>
      <c r="I1397" s="2736" t="s">
        <v>4172</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4803</v>
      </c>
      <c r="D1399" s="2662"/>
      <c r="E1399" s="2662"/>
      <c r="F1399" s="2662"/>
      <c r="G1399" s="2662"/>
      <c r="H1399" s="2662"/>
      <c r="I1399" s="478" t="s">
        <v>4173</v>
      </c>
      <c r="J1399" s="2351"/>
      <c r="K1399" s="2733">
        <f>'Part VIII-Threshold Criteria'!K305</f>
        <v>1</v>
      </c>
      <c r="L1399" s="2352" t="str">
        <f>IF(K1399&lt;M1399,"Check!!!","")</f>
        <v/>
      </c>
      <c r="M1399" s="2734">
        <f>'Part VIII-Threshold Criteria'!M305</f>
        <v>1</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3907</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3666</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3667</v>
      </c>
      <c r="C1404" s="2355"/>
      <c r="D1404" s="2687"/>
      <c r="E1404" s="2687"/>
      <c r="F1404" s="2687"/>
      <c r="G1404" s="2687"/>
      <c r="H1404" s="2687"/>
      <c r="I1404" s="2687" t="s">
        <v>3788</v>
      </c>
      <c r="J1404" s="2687"/>
      <c r="K1404" s="2687"/>
      <c r="L1404" s="2687" t="str">
        <f>'Part VIII-Threshold Criteria'!L310</f>
        <v>Zeffert &amp; Associates</v>
      </c>
      <c r="M1404" s="2687">
        <f>'Part VIII-Threshold Criteria'!M310</f>
        <v>0</v>
      </c>
      <c r="N1404" s="2687">
        <f>'Part VIII-Threshold Criteria'!N310</f>
        <v>0</v>
      </c>
      <c r="O1404" s="2687"/>
      <c r="P1404" s="2687"/>
      <c r="Q1404" s="2687"/>
    </row>
    <row r="1405" spans="1:17" ht="12.75" customHeight="1">
      <c r="A1405" s="2679"/>
      <c r="B1405" s="2713" t="s">
        <v>1750</v>
      </c>
      <c r="C1405" s="2662" t="s">
        <v>3665</v>
      </c>
      <c r="D1405" s="2662"/>
      <c r="E1405" s="2662"/>
      <c r="F1405" s="2662"/>
      <c r="G1405" s="2662"/>
      <c r="H1405" s="2662"/>
      <c r="I1405" s="2662"/>
      <c r="J1405" s="2662"/>
      <c r="K1405" s="2662"/>
      <c r="L1405" s="2662"/>
      <c r="M1405" s="2662"/>
      <c r="N1405" s="2662"/>
      <c r="O1405" s="2713" t="s">
        <v>3670</v>
      </c>
      <c r="P1405" s="2714" t="str">
        <f>'Part VIII-Threshold Criteria'!P311</f>
        <v>Yes</v>
      </c>
      <c r="Q1405" s="2714">
        <f>'Part VIII-Threshold Criteria'!Q311</f>
        <v>0</v>
      </c>
    </row>
    <row r="1406" spans="1:17" ht="12.75" customHeight="1">
      <c r="A1406" s="2679"/>
      <c r="B1406" s="2713" t="s">
        <v>1751</v>
      </c>
      <c r="C1406" s="2662" t="s">
        <v>3710</v>
      </c>
      <c r="D1406" s="2662"/>
      <c r="E1406" s="2662"/>
      <c r="F1406" s="2662"/>
      <c r="G1406" s="2662"/>
      <c r="H1406" s="2662"/>
      <c r="I1406" s="2662"/>
      <c r="J1406" s="2662"/>
      <c r="K1406" s="2662"/>
      <c r="L1406" s="2662"/>
      <c r="M1406" s="2662"/>
      <c r="N1406" s="2662"/>
      <c r="O1406" s="2713" t="s">
        <v>3671</v>
      </c>
      <c r="P1406" s="2714" t="str">
        <f>'Part VIII-Threshold Criteria'!P312</f>
        <v>Yes</v>
      </c>
      <c r="Q1406" s="2714">
        <f>'Part VIII-Threshold Criteria'!Q312</f>
        <v>0</v>
      </c>
    </row>
    <row r="1407" spans="1:17" ht="12.75" customHeight="1">
      <c r="A1407" s="2679"/>
      <c r="B1407" s="2713" t="s">
        <v>1752</v>
      </c>
      <c r="C1407" s="2662" t="s">
        <v>3668</v>
      </c>
      <c r="D1407" s="2662"/>
      <c r="E1407" s="2662"/>
      <c r="F1407" s="2662"/>
      <c r="G1407" s="2662"/>
      <c r="H1407" s="2662"/>
      <c r="I1407" s="2662"/>
      <c r="J1407" s="2662"/>
      <c r="K1407" s="2662"/>
      <c r="L1407" s="2662"/>
      <c r="M1407" s="2662"/>
      <c r="N1407" s="2662"/>
      <c r="O1407" s="2713" t="s">
        <v>3672</v>
      </c>
      <c r="P1407" s="2714" t="str">
        <f>'Part VIII-Threshold Criteria'!P313</f>
        <v>Yes</v>
      </c>
      <c r="Q1407" s="2714">
        <f>'Part VIII-Threshold Criteria'!Q313</f>
        <v>0</v>
      </c>
    </row>
    <row r="1408" spans="1:17" ht="12.75" customHeight="1">
      <c r="A1408" s="2679"/>
      <c r="B1408" s="2713" t="s">
        <v>2381</v>
      </c>
      <c r="C1408" s="2662" t="s">
        <v>3669</v>
      </c>
      <c r="D1408" s="2662"/>
      <c r="E1408" s="2662"/>
      <c r="F1408" s="2662"/>
      <c r="G1408" s="2662"/>
      <c r="H1408" s="2662"/>
      <c r="I1408" s="2662"/>
      <c r="J1408" s="2662"/>
      <c r="K1408" s="2662"/>
      <c r="L1408" s="2662"/>
      <c r="M1408" s="2662"/>
      <c r="N1408" s="2662"/>
      <c r="O1408" s="2713" t="s">
        <v>3673</v>
      </c>
      <c r="P1408" s="2714" t="str">
        <f>'Part VIII-Threshold Criteria'!P314</f>
        <v>Yes</v>
      </c>
      <c r="Q1408" s="2714">
        <f>'Part VIII-Threshold Criteria'!Q314</f>
        <v>0</v>
      </c>
    </row>
    <row r="1409" spans="1:17">
      <c r="B1409" s="2599" t="s">
        <v>3779</v>
      </c>
      <c r="D1409" s="2599"/>
      <c r="E1409" s="2599"/>
      <c r="F1409" s="2599"/>
      <c r="G1409" s="2599"/>
      <c r="H1409" s="2598"/>
      <c r="I1409" s="2660"/>
      <c r="J1409" s="2660"/>
      <c r="K1409" s="2660"/>
      <c r="L1409" s="2562"/>
      <c r="M1409" s="2562"/>
      <c r="N1409" s="2562"/>
      <c r="O1409" s="2562"/>
      <c r="P1409" s="2562"/>
      <c r="Q1409" s="2562"/>
    </row>
    <row r="1410" spans="1:17" ht="236.25">
      <c r="A1410" s="2662" t="str">
        <f>'Part VIII-Threshold Criteria'!A316</f>
        <v>Accessibility and Fair Housing for disabled tenants continues to be an important role and focus of our development team.  The development will be in full compliance with ADA requirements and standards.</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4149</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4804</v>
      </c>
      <c r="D1416" s="2598"/>
      <c r="E1416" s="2598"/>
      <c r="F1416" s="2598"/>
      <c r="G1416" s="2598"/>
      <c r="H1416" s="2598"/>
      <c r="I1416" s="2598"/>
      <c r="J1416" s="2598"/>
      <c r="K1416" s="2598"/>
      <c r="L1416" s="2598"/>
      <c r="M1416" s="2598"/>
      <c r="N1416" s="2713"/>
    </row>
    <row r="1417" spans="1:17" ht="12.75" customHeight="1">
      <c r="B1417" s="2662" t="s">
        <v>2900</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4805</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t="str">
        <f>'Part VIII-Threshold Criteria'!P329</f>
        <v>No</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t="str">
        <f>'Part VIII-Threshold Criteria'!P330</f>
        <v>No</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3779</v>
      </c>
      <c r="D1426" s="2599"/>
      <c r="E1426" s="2599"/>
      <c r="F1426" s="2599"/>
      <c r="G1426" s="2599"/>
      <c r="H1426" s="2598"/>
      <c r="I1426" s="2660"/>
      <c r="J1426" s="2660"/>
      <c r="K1426" s="2660"/>
      <c r="L1426" s="2562"/>
      <c r="M1426" s="2562"/>
      <c r="N1426" s="2562"/>
      <c r="O1426" s="2562"/>
      <c r="P1426" s="2562"/>
      <c r="Q1426" s="2562"/>
    </row>
    <row r="1427" spans="1:17" ht="409.5">
      <c r="A1427" s="2662" t="str">
        <f>'Part VIII-Threshold Criteria'!A333</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not involve the rehabilitation of existing structures.</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4152</v>
      </c>
      <c r="B1430" s="2545" t="s">
        <v>4191</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3946</v>
      </c>
      <c r="O1431" s="2713" t="s">
        <v>1999</v>
      </c>
      <c r="P1431" s="2668" t="str">
        <f>'Part VIII-Threshold Criteria'!P337</f>
        <v>Yes</v>
      </c>
      <c r="Q1431" s="2668">
        <f>'Part VIII-Threshold Criteria'!Q337</f>
        <v>0</v>
      </c>
    </row>
    <row r="1432" spans="1:17">
      <c r="A1432" s="2699" t="s">
        <v>2001</v>
      </c>
      <c r="B1432" s="1156" t="s">
        <v>4136</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3870</v>
      </c>
      <c r="O1434" s="2703" t="s">
        <v>2131</v>
      </c>
      <c r="P1434" s="2668" t="str">
        <f>'Part VIII-Threshold Criteria'!P340</f>
        <v>No</v>
      </c>
      <c r="Q1434" s="2668">
        <f>'Part VIII-Threshold Criteria'!Q340</f>
        <v>0</v>
      </c>
    </row>
    <row r="1435" spans="1:17">
      <c r="A1435" s="2699" t="s">
        <v>1748</v>
      </c>
      <c r="B1435" s="1156" t="s">
        <v>2903</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3779</v>
      </c>
      <c r="D1437" s="2599"/>
      <c r="E1437" s="2599"/>
      <c r="F1437" s="2599"/>
      <c r="G1437" s="2599"/>
      <c r="H1437" s="2598"/>
      <c r="I1437" s="2660"/>
      <c r="J1437" s="2660"/>
      <c r="K1437" s="2660"/>
      <c r="L1437" s="2562"/>
      <c r="M1437" s="2562"/>
      <c r="N1437" s="2562"/>
      <c r="O1437" s="2562"/>
      <c r="P1437" s="2562"/>
      <c r="Q1437" s="2562"/>
    </row>
    <row r="1438" spans="1:17" ht="281.25">
      <c r="A1438" s="2662" t="str">
        <f>'Part VIII-Threshold Criteria'!A344</f>
        <v>Qualification Determination was made by DCA for project team. DCA determined project team to be "Qualified" in 2018.    There have been no changes to the organizational structure or team.  See Qualification Determination in Tab 19 for Information.</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4153</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3682</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3879</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4137</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3779</v>
      </c>
      <c r="D1445" s="2599"/>
      <c r="E1445" s="2599"/>
      <c r="F1445" s="2599"/>
      <c r="G1445" s="2599"/>
      <c r="H1445" s="2598"/>
      <c r="I1445" s="2660"/>
      <c r="J1445" s="2660"/>
      <c r="K1445" s="2660"/>
      <c r="L1445" s="2562"/>
      <c r="M1445" s="2562"/>
      <c r="N1445" s="2562"/>
      <c r="O1445" s="2562"/>
      <c r="P1445" s="2562"/>
      <c r="Q1445" s="2562"/>
    </row>
    <row r="1446" spans="1:17" ht="326.25">
      <c r="A1446" s="2662" t="str">
        <f>'Part VIII-Threshold Criteria'!A352</f>
        <v>Applicant provided current compliance history summary, along with good standing letters for all out of state projects and role/interest letters on all projects claimed for experience, in its 2018 pre-application submittal to DCA.  DCA determined project team to be "Qualified" for 2018.</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4156</v>
      </c>
      <c r="B1450" s="2544" t="s">
        <v>4123</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4124</v>
      </c>
      <c r="D1451" s="2560"/>
      <c r="E1451" s="2560"/>
      <c r="F1451" s="2560"/>
      <c r="G1451" s="2560"/>
      <c r="H1451" s="2703" t="s">
        <v>1999</v>
      </c>
      <c r="I1451" s="2659">
        <f>'Part VIII-Threshold Criteria'!I357</f>
        <v>0</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4125</v>
      </c>
      <c r="D1452" s="2560"/>
      <c r="E1452" s="2560"/>
      <c r="F1452" s="2560"/>
      <c r="G1452" s="2560"/>
      <c r="H1452" s="2713" t="s">
        <v>2001</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4115</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2131</v>
      </c>
      <c r="B1454" s="2662" t="s">
        <v>4116</v>
      </c>
      <c r="C1454" s="2662"/>
      <c r="D1454" s="2662"/>
      <c r="E1454" s="2662"/>
      <c r="F1454" s="2662"/>
      <c r="G1454" s="2662"/>
      <c r="H1454" s="2662"/>
      <c r="I1454" s="2662"/>
      <c r="J1454" s="2662"/>
      <c r="K1454" s="2662"/>
      <c r="L1454" s="2662"/>
      <c r="M1454" s="2662"/>
      <c r="N1454" s="2662"/>
      <c r="O1454" s="2703" t="s">
        <v>2131</v>
      </c>
      <c r="P1454" s="2714">
        <f>'Part VIII-Threshold Criteria'!P360</f>
        <v>0</v>
      </c>
      <c r="Q1454" s="2714">
        <f>'Part VIII-Threshold Criteria'!Q360</f>
        <v>0</v>
      </c>
    </row>
    <row r="1455" spans="1:17">
      <c r="A1455" s="2699" t="s">
        <v>1748</v>
      </c>
      <c r="B1455" s="478" t="s">
        <v>4117</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4118</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1962</v>
      </c>
      <c r="B1457" s="2687" t="s">
        <v>4119</v>
      </c>
      <c r="C1457" s="2679"/>
      <c r="D1457" s="2662"/>
      <c r="E1457" s="2662"/>
      <c r="F1457" s="2662"/>
      <c r="G1457" s="2662"/>
      <c r="H1457" s="2662"/>
      <c r="I1457" s="2662"/>
      <c r="J1457" s="2662"/>
      <c r="K1457" s="2662"/>
      <c r="L1457" s="2662"/>
      <c r="M1457" s="2662"/>
      <c r="N1457" s="2662"/>
      <c r="O1457" s="2713" t="s">
        <v>1962</v>
      </c>
      <c r="P1457" s="2714">
        <f>'Part VIII-Threshold Criteria'!P363</f>
        <v>0</v>
      </c>
      <c r="Q1457" s="2714">
        <f>'Part VIII-Threshold Criteria'!Q363</f>
        <v>0</v>
      </c>
    </row>
    <row r="1458" spans="1:17">
      <c r="A1458" s="2679"/>
      <c r="B1458" s="2679"/>
      <c r="C1458" s="2722" t="s">
        <v>4806</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3392</v>
      </c>
      <c r="B1459" s="2662" t="s">
        <v>4120</v>
      </c>
      <c r="C1459" s="2662"/>
      <c r="D1459" s="2662"/>
      <c r="E1459" s="2662"/>
      <c r="F1459" s="2662"/>
      <c r="G1459" s="2662"/>
      <c r="H1459" s="2662"/>
      <c r="I1459" s="2662"/>
      <c r="J1459" s="2662"/>
      <c r="K1459" s="2662"/>
      <c r="L1459" s="2662"/>
      <c r="M1459" s="2662"/>
      <c r="N1459" s="2662"/>
      <c r="O1459" s="2713" t="s">
        <v>3392</v>
      </c>
      <c r="P1459" s="2714">
        <f>'Part VIII-Threshold Criteria'!P365</f>
        <v>0</v>
      </c>
      <c r="Q1459" s="2714">
        <f>'Part VIII-Threshold Criteria'!Q365</f>
        <v>0</v>
      </c>
    </row>
    <row r="1460" spans="1:17" ht="12.75" customHeight="1">
      <c r="A1460" s="2699" t="s">
        <v>622</v>
      </c>
      <c r="B1460" s="2662" t="s">
        <v>4121</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3779</v>
      </c>
      <c r="D1461" s="2599"/>
      <c r="E1461" s="2599"/>
      <c r="F1461" s="2599"/>
      <c r="G1461" s="2599"/>
      <c r="H1461" s="2598"/>
      <c r="I1461" s="2660"/>
      <c r="J1461" s="2660"/>
      <c r="K1461" s="2660"/>
      <c r="L1461" s="2562"/>
      <c r="M1461" s="2562"/>
      <c r="N1461" s="2562"/>
      <c r="O1461" s="2562"/>
      <c r="P1461" s="2562"/>
      <c r="Q1461" s="2562"/>
    </row>
    <row r="1462" spans="1:17" ht="78.75">
      <c r="A1462" s="2662" t="str">
        <f>'Part VIII-Threshold Criteria'!A368</f>
        <v xml:space="preserve">Applicant is not requesting consideration under the non-profit set aside.                </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4157</v>
      </c>
      <c r="B1466" s="2544" t="s">
        <v>3947</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3949</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4174</v>
      </c>
      <c r="D1468" s="478"/>
      <c r="E1468" s="478"/>
      <c r="F1468" s="478"/>
      <c r="G1468" s="2659">
        <f>'Part VIII-Threshold Criteria'!G374</f>
        <v>0</v>
      </c>
      <c r="H1468" s="2659">
        <f>'Part VIII-Threshold Criteria'!H374</f>
        <v>0</v>
      </c>
      <c r="I1468" s="2659">
        <f>'Part VIII-Threshold Criteria'!I374</f>
        <v>0</v>
      </c>
      <c r="J1468" s="2660" t="s">
        <v>3956</v>
      </c>
      <c r="K1468" s="2659">
        <f>'Part VIII-Threshold Criteria'!K374</f>
        <v>0</v>
      </c>
      <c r="L1468" s="2659">
        <f>'Part VIII-Threshold Criteria'!L374</f>
        <v>0</v>
      </c>
      <c r="M1468" s="2659">
        <f>'Part VIII-Threshold Criteria'!M374</f>
        <v>0</v>
      </c>
      <c r="N1468" s="478" t="s">
        <v>3948</v>
      </c>
      <c r="O1468" s="478"/>
      <c r="P1468" s="2659">
        <f>'Part VIII-Threshold Criteria'!P374</f>
        <v>0</v>
      </c>
      <c r="Q1468" s="2659">
        <f>'Part VIII-Threshold Criteria'!Q374</f>
        <v>0</v>
      </c>
    </row>
    <row r="1469" spans="1:17">
      <c r="A1469" s="2355"/>
      <c r="B1469" s="478" t="s">
        <v>1751</v>
      </c>
      <c r="C1469" s="478" t="s">
        <v>3950</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3951</v>
      </c>
      <c r="D1470" s="2554"/>
      <c r="E1470" s="2627"/>
      <c r="F1470" s="2704" t="str">
        <f>'Part VIII-Threshold Criteria'!F376</f>
        <v>Urban</v>
      </c>
      <c r="G1470" s="2704">
        <f>'Part VIII-Threshold Criteria'!G376</f>
        <v>0</v>
      </c>
      <c r="H1470" s="2592" t="s">
        <v>3952</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3953</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3963</v>
      </c>
      <c r="O1471" s="2703"/>
      <c r="P1471" s="2668">
        <f>'Part VIII-Threshold Criteria'!P377</f>
        <v>0</v>
      </c>
      <c r="Q1471" s="2668">
        <f>'Part VIII-Threshold Criteria'!Q377</f>
        <v>0</v>
      </c>
    </row>
    <row r="1472" spans="1:17">
      <c r="A1472" s="2701"/>
      <c r="B1472" s="478" t="s">
        <v>1561</v>
      </c>
      <c r="C1472" s="478" t="s">
        <v>3954</v>
      </c>
      <c r="D1472" s="2355"/>
      <c r="E1472" s="478"/>
      <c r="F1472" s="2739">
        <f>'Part VIII-Threshold Criteria'!F378</f>
        <v>714000</v>
      </c>
      <c r="G1472" s="2739">
        <f>'Part VIII-Threshold Criteria'!G378</f>
        <v>0</v>
      </c>
      <c r="H1472" s="478" t="s">
        <v>3955</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3957</v>
      </c>
      <c r="D1473" s="2355"/>
      <c r="E1473" s="478"/>
      <c r="F1473" s="478"/>
      <c r="G1473" s="478"/>
      <c r="H1473" s="478" t="s">
        <v>3618</v>
      </c>
      <c r="I1473" s="478"/>
      <c r="J1473" s="2739">
        <f>'Part VIII-Threshold Criteria'!J379</f>
        <v>0</v>
      </c>
      <c r="K1473" s="2739">
        <f>'Part VIII-Threshold Criteria'!K379</f>
        <v>0</v>
      </c>
      <c r="L1473" s="478" t="s">
        <v>3958</v>
      </c>
      <c r="M1473" s="2739">
        <f>'Part VIII-Threshold Criteria'!M379</f>
        <v>0</v>
      </c>
      <c r="N1473" s="2739">
        <f>'Part VIII-Threshold Criteria'!N379</f>
        <v>0</v>
      </c>
      <c r="O1473" s="2355"/>
      <c r="P1473" s="2355"/>
      <c r="Q1473" s="2355"/>
    </row>
    <row r="1474" spans="1:17">
      <c r="A1474" s="2355"/>
      <c r="B1474" s="478" t="s">
        <v>99</v>
      </c>
      <c r="C1474" s="478" t="s">
        <v>3959</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3960</v>
      </c>
      <c r="C1476" s="2355"/>
      <c r="D1476" s="2627"/>
      <c r="E1476" s="2627"/>
      <c r="F1476" s="2627"/>
      <c r="G1476" s="2627"/>
      <c r="H1476" s="2627"/>
      <c r="I1476" s="2355"/>
      <c r="J1476" s="478" t="s">
        <v>3965</v>
      </c>
      <c r="K1476" s="478"/>
      <c r="L1476" s="478"/>
      <c r="M1476" s="478"/>
      <c r="N1476" s="2627" t="s">
        <v>3962</v>
      </c>
      <c r="O1476" s="2627"/>
      <c r="P1476" s="2627"/>
      <c r="Q1476" s="2627"/>
    </row>
    <row r="1477" spans="1:17">
      <c r="A1477" s="2355"/>
      <c r="B1477" s="478" t="s">
        <v>1750</v>
      </c>
      <c r="C1477" s="2598" t="s">
        <v>3961</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3964</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3966</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3779</v>
      </c>
      <c r="D1480" s="2599"/>
      <c r="E1480" s="2599"/>
      <c r="F1480" s="2599"/>
      <c r="G1480" s="2599"/>
      <c r="H1480" s="2598"/>
      <c r="I1480" s="2660"/>
      <c r="J1480" s="2660"/>
      <c r="K1480" s="2660"/>
      <c r="L1480" s="2562"/>
      <c r="M1480" s="2562"/>
      <c r="N1480" s="2562"/>
      <c r="O1480" s="2562"/>
      <c r="P1480" s="2562"/>
      <c r="Q1480" s="2562"/>
    </row>
    <row r="1481" spans="1:17" ht="90">
      <c r="A1481" s="2662" t="str">
        <f>'Part VIII-Threshold Criteria'!A387</f>
        <v xml:space="preserve">Applicant is not requesting consideration under the rural HOME preservation set aside.                </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4158</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3487</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3497</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3724</v>
      </c>
      <c r="G1490" s="2592"/>
      <c r="H1490" s="2592"/>
      <c r="I1490" s="2592"/>
      <c r="J1490" s="2598" t="s">
        <v>3725</v>
      </c>
      <c r="L1490" s="2592"/>
      <c r="M1490" s="2742">
        <f>'Part III-Sources of Funds'!E1105</f>
        <v>0</v>
      </c>
      <c r="N1490" s="2742"/>
      <c r="O1490" s="2703" t="s">
        <v>2131</v>
      </c>
      <c r="P1490" s="2668">
        <f>'Part VIII-Threshold Criteria'!P396</f>
        <v>0</v>
      </c>
      <c r="Q1490" s="2668">
        <f>'Part VIII-Threshold Criteria'!Q396</f>
        <v>0</v>
      </c>
    </row>
    <row r="1491" spans="1:17">
      <c r="B1491" s="2599" t="s">
        <v>3779</v>
      </c>
      <c r="D1491" s="2599"/>
      <c r="E1491" s="2599"/>
      <c r="F1491" s="2599"/>
      <c r="G1491" s="2599"/>
      <c r="H1491" s="2598"/>
      <c r="I1491" s="2660"/>
      <c r="J1491" s="2660"/>
      <c r="K1491" s="2660"/>
      <c r="L1491" s="2562"/>
      <c r="M1491" s="2562"/>
      <c r="N1491" s="2562"/>
      <c r="O1491" s="2562"/>
      <c r="P1491" s="2562"/>
      <c r="Q1491" s="2562"/>
    </row>
    <row r="1492" spans="1:17" ht="78.75">
      <c r="A1492" s="2662" t="str">
        <f>'Part VIII-Threshold Criteria'!A398</f>
        <v xml:space="preserve">Applicant is not requesting consideration under the CHDO set aside.                                </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4159</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t="str">
        <f>'Part VIII-Threshold Criteria'!P403</f>
        <v>No</v>
      </c>
      <c r="Q1497" s="2668">
        <f>'Part VIII-Threshold Criteria'!Q403</f>
        <v>0</v>
      </c>
    </row>
    <row r="1498" spans="1:17">
      <c r="A1498" s="2701" t="s">
        <v>2001</v>
      </c>
      <c r="B1498" s="478" t="s">
        <v>3608</v>
      </c>
      <c r="D1498" s="2662"/>
      <c r="E1498" s="2662"/>
      <c r="O1498" s="2703" t="s">
        <v>2001</v>
      </c>
      <c r="P1498" s="2668" t="str">
        <f>'Part VIII-Threshold Criteria'!P404</f>
        <v>No</v>
      </c>
      <c r="Q1498" s="2668">
        <f>'Part VIII-Threshold Criteria'!Q404</f>
        <v>0</v>
      </c>
    </row>
    <row r="1499" spans="1:17">
      <c r="A1499" s="2701" t="s">
        <v>757</v>
      </c>
      <c r="B1499" s="478" t="s">
        <v>4122</v>
      </c>
      <c r="D1499" s="2662"/>
      <c r="E1499" s="2662"/>
      <c r="O1499" s="2703" t="s">
        <v>757</v>
      </c>
      <c r="P1499" s="2668" t="str">
        <f>'Part VIII-Threshold Criteria'!P405</f>
        <v>No</v>
      </c>
      <c r="Q1499" s="2668">
        <f>'Part VIII-Threshold Criteria'!Q405</f>
        <v>0</v>
      </c>
    </row>
    <row r="1500" spans="1:17">
      <c r="A1500" s="2701" t="s">
        <v>2131</v>
      </c>
      <c r="B1500" s="478" t="s">
        <v>3609</v>
      </c>
      <c r="E1500" s="2687"/>
      <c r="O1500" s="2703" t="s">
        <v>2131</v>
      </c>
      <c r="P1500" s="2668" t="str">
        <f>'Part VIII-Threshold Criteria'!P406</f>
        <v>No</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3779</v>
      </c>
      <c r="D1502" s="2599"/>
      <c r="E1502" s="2599"/>
      <c r="F1502" s="2599"/>
      <c r="G1502" s="2599"/>
      <c r="H1502" s="2598"/>
      <c r="I1502" s="2660"/>
      <c r="J1502" s="2660"/>
      <c r="K1502" s="2660"/>
      <c r="L1502" s="2562"/>
      <c r="M1502" s="2562"/>
      <c r="N1502" s="2562"/>
      <c r="O1502" s="2562"/>
      <c r="P1502" s="2562"/>
      <c r="Q1502" s="2562"/>
    </row>
    <row r="1503" spans="1:17" ht="78.75">
      <c r="A1503" s="2662" t="str">
        <f>'Part VIII-Threshold Criteria'!A409</f>
        <v>There are no required legal opinions for this development.</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4160</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No</v>
      </c>
      <c r="Q1508" s="2668">
        <f>'Part VIII-Threshold Criteria'!Q414</f>
        <v>0</v>
      </c>
    </row>
    <row r="1509" spans="1:17">
      <c r="A1509" s="2701" t="s">
        <v>2001</v>
      </c>
      <c r="B1509" s="478" t="s">
        <v>3499</v>
      </c>
      <c r="D1509" s="2355"/>
      <c r="E1509" s="2355"/>
      <c r="F1509" s="2355"/>
      <c r="G1509" s="2355"/>
      <c r="H1509" s="2355"/>
      <c r="I1509" s="2355"/>
      <c r="J1509" s="2355"/>
      <c r="K1509" s="2355"/>
      <c r="L1509" s="2355"/>
      <c r="M1509" s="2355"/>
      <c r="N1509" s="2355"/>
      <c r="O1509" s="2703" t="s">
        <v>1458</v>
      </c>
      <c r="P1509" s="2668" t="str">
        <f>'Part VIII-Threshold Criteria'!P415</f>
        <v>No</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3498</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3595</v>
      </c>
      <c r="C1512" s="478" t="s">
        <v>3596</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2834</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3779</v>
      </c>
      <c r="D1521" s="2599"/>
      <c r="E1521" s="2599"/>
      <c r="F1521" s="2599"/>
      <c r="G1521" s="2599"/>
      <c r="H1521" s="2598"/>
      <c r="I1521" s="2660"/>
      <c r="J1521" s="2660"/>
      <c r="K1521" s="2660"/>
      <c r="P1521" s="2562"/>
      <c r="Q1521" s="2562"/>
    </row>
    <row r="1522" spans="1:17" ht="146.25">
      <c r="A1522" s="2662" t="str">
        <f>'Part VIII-Threshold Criteria'!A428</f>
        <v xml:space="preserve">There are no structures on this development site and no displacements would occur as a result of this development.                </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4161</v>
      </c>
      <c r="B1526" s="2544" t="s">
        <v>2835</v>
      </c>
      <c r="C1526" s="2544"/>
      <c r="D1526" s="2659"/>
      <c r="E1526" s="2665"/>
      <c r="F1526" s="2665"/>
      <c r="G1526" s="2665"/>
      <c r="H1526" s="2665"/>
      <c r="O1526" s="2661" t="s">
        <v>1881</v>
      </c>
      <c r="P1526" s="2570">
        <f>'Part VIII-Threshold Criteria'!P432</f>
        <v>0</v>
      </c>
      <c r="Q1526" s="2570">
        <f>'Part VIII-Threshold Criteria'!Q432</f>
        <v>0</v>
      </c>
    </row>
    <row r="1527" spans="1:17">
      <c r="B1527" s="2659" t="s">
        <v>3967</v>
      </c>
      <c r="C1527" s="2544"/>
      <c r="D1527" s="2659"/>
      <c r="E1527" s="2665"/>
      <c r="F1527" s="2665"/>
      <c r="G1527" s="2665"/>
      <c r="H1527" s="2665"/>
    </row>
    <row r="1528" spans="1:17" ht="12.75" customHeight="1">
      <c r="A1528" s="2699" t="s">
        <v>1999</v>
      </c>
      <c r="B1528" s="2662" t="s">
        <v>3970</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3968</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3969</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3971</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3972</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3973</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3974</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3975</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3976</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3500</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3779</v>
      </c>
      <c r="D1538" s="2599"/>
      <c r="E1538" s="2599"/>
      <c r="F1538" s="2599"/>
      <c r="G1538" s="2599"/>
      <c r="H1538" s="2598"/>
      <c r="I1538" s="2660"/>
      <c r="J1538" s="2660"/>
      <c r="K1538" s="2660"/>
      <c r="L1538" s="2562"/>
      <c r="M1538" s="2562"/>
      <c r="N1538" s="2562"/>
      <c r="O1538" s="2562"/>
      <c r="P1538" s="2562"/>
      <c r="Q1538" s="2562"/>
    </row>
    <row r="1539" spans="1:17" ht="202.5">
      <c r="A1539" s="2662" t="str">
        <f>'Part VIII-Threshold Criteria'!A445</f>
        <v>Our team has and will continue to facilitie AFFH.  We have evidence of our commitment to AFFH throughout the many states we work in and our consistent track record.</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4162</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3779</v>
      </c>
      <c r="D1544" s="2599"/>
      <c r="E1544" s="2599"/>
      <c r="F1544" s="2599"/>
      <c r="G1544" s="2599"/>
      <c r="H1544" s="2598"/>
      <c r="I1544" s="2660"/>
      <c r="J1544" s="2660"/>
      <c r="K1544" s="2660"/>
      <c r="L1544" s="2562"/>
      <c r="M1544" s="2562"/>
      <c r="N1544" s="2562"/>
      <c r="O1544" s="2562"/>
      <c r="P1544" s="2562"/>
      <c r="Q1544" s="2562"/>
    </row>
    <row r="1545" spans="1:17" ht="409.5">
      <c r="A1545" s="2662" t="str">
        <f>'Part VIII-Threshold Criteria'!A451</f>
        <v>Total unrestricted permanent financing of $2,000,000 (SunTrust $800,000 and Invest Atlanta $1,200,000) is equal to 16.779% of the total development budget, which exceeds the market rate unit percentage of 16.667% of total units.  Mixed Income communities are a requirement of the Housing Opportunity Bond Loan.
The development would be an excellent opportunity to leverage resources to meet the housing needs of Atlanta, Georgia.</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2018-046 Abbington on Cheshire Bridge,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4807</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67</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2803</v>
      </c>
      <c r="C1562" s="2544"/>
      <c r="D1562" s="2544"/>
      <c r="E1562" s="2544"/>
      <c r="F1562" s="2660"/>
      <c r="G1562" s="2355"/>
      <c r="H1562" s="2626" t="s">
        <v>4808</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3674</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2784</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4809</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4193</v>
      </c>
      <c r="D1567" s="478"/>
      <c r="E1567" s="478"/>
      <c r="F1567" s="478"/>
      <c r="G1567" s="2626"/>
      <c r="H1567" s="2357" t="s">
        <v>4809</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3871</v>
      </c>
      <c r="B1568" s="2587"/>
      <c r="C1568" s="2587"/>
      <c r="D1568" s="2587"/>
      <c r="E1568" s="2587"/>
      <c r="F1568" s="2660" t="s">
        <v>4196</v>
      </c>
      <c r="G1568" s="2355"/>
      <c r="H1568" s="2355"/>
      <c r="I1568" s="2355"/>
      <c r="J1568" s="2660" t="s">
        <v>4196</v>
      </c>
      <c r="K1568" s="2660"/>
      <c r="L1568" s="2355"/>
      <c r="M1568" s="2355"/>
      <c r="N1568" s="2355"/>
      <c r="O1568" s="478" t="s">
        <v>4196</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3610</v>
      </c>
      <c r="H1569" s="2704"/>
      <c r="I1569" s="2704"/>
      <c r="J1569" s="2563">
        <f>SUM(J1570:J1581)</f>
        <v>0</v>
      </c>
      <c r="K1569" s="2659" t="s">
        <v>3394</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2925</v>
      </c>
      <c r="K1572" s="2433">
        <f>'Part IX A-Scoring Criteria'!K18</f>
        <v>3</v>
      </c>
      <c r="L1572" s="2433">
        <f>'Part IX A-Scoring Criteria'!L18</f>
        <v>0</v>
      </c>
      <c r="M1572" s="2433">
        <f>'Part IX A-Scoring Criteria'!M18</f>
        <v>0</v>
      </c>
      <c r="N1572" s="2433">
        <f>'Part IX A-Scoring Criteria'!N18</f>
        <v>0</v>
      </c>
      <c r="O1572" s="2737" t="s">
        <v>2925</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2925</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3611</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3612</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3613</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3614</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4810</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4197</v>
      </c>
      <c r="B1583" s="478" t="s">
        <v>4198</v>
      </c>
      <c r="C1583" s="478"/>
      <c r="D1583" s="478"/>
      <c r="E1583" s="2474" t="s">
        <v>4226</v>
      </c>
      <c r="F1583" s="478" t="s">
        <v>4225</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409.5">
      <c r="A1584" s="2762" t="s">
        <v>750</v>
      </c>
      <c r="B1584" s="2763" t="s">
        <v>4199</v>
      </c>
      <c r="C1584" s="2433"/>
      <c r="D1584" s="2433"/>
      <c r="E1584" s="2764">
        <f>'Part IX A-Scoring Criteria'!E30</f>
        <v>10</v>
      </c>
      <c r="F1584" s="2667" t="str">
        <f>'Part IX A-Scoring Criteria'!F30</f>
        <v xml:space="preserve">Abbington on Cheshire Bridge is located within a 1.5-mile driving/walking distance (rural) of the following amenities: Publix grocery; Georgia Department of Community Affairs; Morningside Nature Preserve park; TMJ Dentist Atlanta; Atlanta Fire-Rescue Station 29; Taquira del Sol restaurant; Chase Bank; Rock Spring Presbyterian Church; U.S. Post Office; and CVS Pharmacy.  Of these amenities, several are also located within a half-mile walking/driving distance from the development site: Morningside Nature Preserve park; Taquira del Sol restaurant; and CVS Pharmacy.  Therefore, Abbington on Cheshire Bridge is eligible for a total of 13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on Cheshire Bridge is Publix Supermarket located 0.8 mile from the site.  There are no undesirable activities or characterisitics observed within a 0.25-mile radius from the site.  </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4200</v>
      </c>
      <c r="C1585" s="2433"/>
      <c r="D1585" s="2433"/>
      <c r="E1585" s="2764">
        <f>'Part IX A-Scoring Criteria'!E31</f>
        <v>3</v>
      </c>
      <c r="F1585" s="2667" t="str">
        <f>'Part IX A-Scoring Criteria'!F31</f>
        <v xml:space="preserve">Abbington on Cheshire Bridge has committed to comply with the Enterprise Foundation Green Communities Certification program and achieve ten additional points over the baseline certification level. Rea Ventures has worked with SK Collaborative- an Enterprise Qualified TA Provider- to develop a compliant worksheet to achieve this standard. Currently, Abbington on Cheshire Bridge is tracking 62 points in the program including compliance with all mandatory program requirements.  Basic certification level for Enterprise Green Communities requires 35 points for compliance and QAP Exceptional certification requires 35+10. </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Some Applicant Scoring Justification boxes are empty! Check to see if points claimed.</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4201</v>
      </c>
      <c r="C1586" s="2433"/>
      <c r="D1586" s="2433"/>
      <c r="E1586" s="2764">
        <f>'Part IX A-Scoring Criteria'!E32</f>
        <v>5</v>
      </c>
      <c r="F1586" s="2667" t="str">
        <f>'Part IX A-Scoring Criteria'!F32</f>
        <v>Abbington on Cheshire Bridge is within the attendance zones for Garden Hills Elementary School, Sutton Middle School, and North Atlanta High School within the Atlanta Public Schools system.  Each of these schools exceeded the minimum scoring CCRPI value when scores are averaged from 2015-2017.  Therefore, the development qualifies for the full 3 points under Quality Education Areas.  The site also qualifies for 2 points under Workforce Housing Need as 42,947 jobs were identified by "On the Map" within a 2-mile radius of the site.  The address used in On the Map was 2070 Cheshire Bridge Road NE, Atlanta, GA 30324, the closest existing physical address.  The minimum scoring threshold for the Atlanta Metro MSA was 15,000 jobs (1 point) or 20,000 (2 points) for exceeding the target threshold by 50%.  This site location is well above the 50% increase threshold and eligible for the full jobs points.</v>
      </c>
      <c r="G1586" s="2667"/>
      <c r="H1586" s="2667"/>
      <c r="I1586" s="2667"/>
      <c r="J1586" s="2667"/>
      <c r="K1586" s="2667"/>
      <c r="L1586" s="2667"/>
      <c r="M1586" s="2667"/>
      <c r="N1586" s="2667"/>
      <c r="O1586" s="2704" t="s">
        <v>2925</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4202</v>
      </c>
      <c r="C1587" s="2433"/>
      <c r="D1587" s="2433"/>
      <c r="E1587" s="2764">
        <f>'Part IX A-Scoring Criteria'!E33</f>
        <v>7</v>
      </c>
      <c r="F1587" s="2667" t="str">
        <f>'Part IX A-Scoring Criteria'!F33</f>
        <v xml:space="preserve">Abbington on Cheshire Bridge is located near the middle of the Cheshire Bridge Road “corridor” in an area seeing multiple redevelopments and improvements. 
Public off-site improvements within ½ mile of the site include: 
•	A pedestrian hybrid beacon (PHB) will be installed approximately 300 ft east of our site entrance at approximately 2170 Cheshire Bridge Road
o	Currently in design and bid with completion late 2018/2019
o	Cost estimated to be: $120,000
o	Source of Funding: GDOT LMIG OSS Grant, DPW OOT General Budget 
•	Armand Park and South Fork Peachtree Creek trail expansion on Armand Drive and along South Fork Peachtree Creek. 
o	Currently under design/construction with completion 2019. 
o	Cost of Armand Park land purchase: $399,853 (November 2017) and South Fork Peachtree creek trail expansion ($2,000,000). 
o	Source of Funding: General Government Capital Outlay Fund 
•	Greenspace expansion and habitat restoration at Morningside Nature Preserve 
o	Funded by City of Atlanta parks and recreation impact fees and identified for completion on the 2017-2021 Public Works Program
o	Cost: $1,000,000 (trailhead aquisition for new pedestrian connections)
o	Cost: $250,000 (continue nature preserve master plan development )
o	Source of Funding: City of Atlanta Department Public works budget 
•	Future MARTA expansion to include a light rail line known as the Clifton Corridor, with a station adjacent to the site. 
o	This is part of a large transit corridor development to be funded by the local sales tax referendum (2016). Currently the light rail is in the Project Development Phase (2017-2020). 
o	Abbington on Cheshire Bridge apartments would be placed into service during the Design and Construction Phase (2020-2024) with rail service to begin in 2025.  Cost estimated to be $504,000,000. </v>
      </c>
      <c r="G1587" s="2667"/>
      <c r="H1587" s="2667"/>
      <c r="I1587" s="2667"/>
      <c r="J1587" s="2667"/>
      <c r="K1587" s="2667"/>
      <c r="L1587" s="2667"/>
      <c r="M1587" s="2667"/>
      <c r="N1587" s="2667"/>
      <c r="O1587" s="2704" t="s">
        <v>2925</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4203</v>
      </c>
      <c r="C1588" s="2433"/>
      <c r="D1588" s="2433"/>
      <c r="E1588" s="2765" t="str">
        <f>'Part IX A-Scoring Criteria'!E34</f>
        <v>n/a</v>
      </c>
      <c r="F1588" s="2667">
        <f>'Part IX A-Scoring Criteria'!F34</f>
        <v>0</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3817</v>
      </c>
      <c r="C1589" s="2433"/>
      <c r="D1589" s="2433"/>
      <c r="E1589" s="2764">
        <f>'Part IX A-Scoring Criteria'!E35</f>
        <v>0</v>
      </c>
      <c r="F1589" s="2667" t="str">
        <f>'Part IX A-Scoring Criteria'!F35</f>
        <v xml:space="preserve">Abbington on Cheshire Bridge is located in Census Tract 92, a 2018 qualified census tract.  However, it is located 0.12 mile from Census Tract 1 which is an Upper Income tract where 6.15% of families are below the poverty line.  Therefore, this site qualifies for 1 point under Stable Communities (Flexible Pool Low-Poverty Communities) because it is within 1/4 mile of a census tract that is designated Middle or Upper Income and where less than 10% are below the Poverty level.  The site is also located in a B3 health sub-cluster as designated by the Georgia Department of Public Health.  Therefore, this site is eligible for 1 additional point under Stable Communities (Georgia Department of Public Health Stable Communities) because it is located in a B3 sub-cluster.   </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4204</v>
      </c>
      <c r="C1590" s="2433"/>
      <c r="D1590" s="2433"/>
      <c r="E1590" s="2765">
        <f>'Part IX A-Scoring Criteria'!E36</f>
        <v>1</v>
      </c>
      <c r="F1590" s="2667" t="str">
        <f>'Part IX A-Scoring Criteria'!F36</f>
        <v xml:space="preserve">Applicant has elected to assign its Bonus Point to the Abbington on Cheshire Bridge application.               </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4515</v>
      </c>
      <c r="B1591" s="2763" t="s">
        <v>4516</v>
      </c>
      <c r="C1591" s="2433"/>
      <c r="D1591" s="2433"/>
      <c r="E1591" s="2765">
        <f>'Part IX A-Scoring Criteria'!E37</f>
        <v>3</v>
      </c>
      <c r="F1591" s="2667" t="str">
        <f>'Part IX A-Scoring Criteria'!F37</f>
        <v>According to Georgia DCA's online GIS mapping system (.http://georgia-dca.maps.arcgis.com), there have never been any LIHTC awards within a mile of the development site.  Therefore, Abbington on Cheshire Bridge is eligible for three (3) points under Previous Projects (Flexible Pool) since the site is not within a 1-mile radius of a Georgia Housing Credit development that has received an award in the last Six (6) DCA funding cycles.  The closest LIHTC award is Campbell Stone (2911 Pharr Court South NW, Atlanta, GA 30305) which is a 342-unit 4% award in 2005 that is located 2.2 miles to the northwest of the proposed development site.</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4150</v>
      </c>
      <c r="B1592" s="2763" t="s">
        <v>4205</v>
      </c>
      <c r="C1592" s="2433"/>
      <c r="D1592" s="2433"/>
      <c r="E1592" s="2764">
        <f>'Part IX A-Scoring Criteria'!E38</f>
        <v>0</v>
      </c>
      <c r="F1592" s="2667" t="str">
        <f>'Part IX A-Scoring Criteria'!F38</f>
        <v>Development is not within a Georgia Initiative for Community Housing community or a Designated Military Zone.</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4151</v>
      </c>
      <c r="B1593" s="2763" t="s">
        <v>4206</v>
      </c>
      <c r="C1593" s="2433"/>
      <c r="D1593" s="2433"/>
      <c r="E1593" s="2764">
        <f>'Part IX A-Scoring Criteria'!E39</f>
        <v>3</v>
      </c>
      <c r="F1593" s="2667" t="str">
        <f>'Part IX A-Scoring Criteria'!F39</f>
        <v xml:space="preserve">Development has received an award from Invest Atlanta (a government entity) of $1,200,000 in Housing Opportunity Bonds loan funds.  This loan is set at a fixed interest rate of 2.0%, which is below AFR and is for a term of 30 years, which exceeds the minimum required period of 10 years.  This amount also represents greater than 10% of the total development cost.  It is also classified by Invest Atlanta as unrestricited funding that can be used to pay for the costs associated with market rate and affordable units.  Therefore, these funds qualify as favorable financing per the 2018 QAP and are eligible for the full 3 points.  </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4149</v>
      </c>
      <c r="B1594" s="2763" t="s">
        <v>4207</v>
      </c>
      <c r="C1594" s="2433"/>
      <c r="D1594" s="2433"/>
      <c r="E1594" s="2764">
        <f>'Part IX A-Scoring Criteria'!E40</f>
        <v>2</v>
      </c>
      <c r="F1594" s="2667" t="str">
        <f>'Part IX A-Scoring Criteria'!F40</f>
        <v>Applicant has set aside a minimum of 10% of the total units as 1-bedroom units at 50% AMI rents and agrees to accept Section 811 PBRA on these units.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4152</v>
      </c>
      <c r="B1595" s="2763" t="s">
        <v>4208</v>
      </c>
      <c r="C1595" s="2433"/>
      <c r="D1595" s="2433"/>
      <c r="E1595" s="2765">
        <f>'Part IX A-Scoring Criteria'!E41</f>
        <v>0</v>
      </c>
      <c r="F1595" s="2667" t="str">
        <f>'Part IX A-Scoring Criteria'!F41</f>
        <v>Applicant is not pursuing historic preservation on this development.</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3615</v>
      </c>
      <c r="C1597" s="2766"/>
      <c r="D1597" s="2766"/>
      <c r="E1597" s="478"/>
      <c r="F1597" s="2766"/>
      <c r="G1597" s="2659"/>
      <c r="H1597" s="478"/>
      <c r="I1597" s="2767" t="s">
        <v>3513</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3616</v>
      </c>
      <c r="I1599" s="2518"/>
      <c r="J1599" s="2770">
        <f>'Part VI-Revenues &amp; Expenses'!$O$60</f>
        <v>48</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3617</v>
      </c>
      <c r="C1600" s="2518"/>
      <c r="D1600" s="2518"/>
      <c r="E1600" s="2518"/>
      <c r="F1600" s="2518"/>
      <c r="G1600" s="2704"/>
      <c r="H1600" s="2773" t="s">
        <v>3618</v>
      </c>
      <c r="I1600" s="2773" t="s">
        <v>3619</v>
      </c>
      <c r="J1600" s="2704"/>
      <c r="K1600" s="478" t="s">
        <v>3396</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3741</v>
      </c>
      <c r="H1601" s="2627"/>
      <c r="I1601" s="2627"/>
      <c r="J1601" s="2627"/>
      <c r="K1601" s="2493" t="s">
        <v>3618</v>
      </c>
      <c r="L1601" s="2493" t="s">
        <v>3619</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3395</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3366</v>
      </c>
      <c r="B1603" s="2777" t="s">
        <v>2004</v>
      </c>
      <c r="C1603" s="2778">
        <v>0.2</v>
      </c>
      <c r="D1603" s="2687" t="s">
        <v>3395</v>
      </c>
      <c r="E1603" s="2779"/>
      <c r="F1603" s="2779"/>
      <c r="G1603" s="2779"/>
      <c r="H1603" s="2780">
        <f>'Part IX A-Scoring Criteria'!H49</f>
        <v>12</v>
      </c>
      <c r="I1603" s="2780">
        <f>'Part IX A-Scoring Criteria'!I49</f>
        <v>0</v>
      </c>
      <c r="J1603" s="2779"/>
      <c r="K1603" s="2709">
        <f>'Part IX A-Scoring Criteria'!K49</f>
        <v>0.25</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4811</v>
      </c>
      <c r="C1605" s="2779"/>
      <c r="D1605" s="2779"/>
      <c r="E1605" s="2725"/>
      <c r="F1605" s="2779"/>
      <c r="G1605" s="2779"/>
      <c r="H1605" s="2627" t="s">
        <v>3678</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3677</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3991</v>
      </c>
      <c r="D1607" s="2779"/>
      <c r="E1607" s="2782"/>
      <c r="F1607" s="2736"/>
      <c r="G1607" s="2779"/>
      <c r="H1607" s="2779"/>
      <c r="I1607" s="2743"/>
      <c r="J1607" s="2743"/>
      <c r="K1607" s="2743"/>
      <c r="L1607" s="2743"/>
      <c r="M1607" s="2743"/>
      <c r="N1607" s="2774" t="s">
        <v>2004</v>
      </c>
      <c r="O1607" s="2668">
        <f>'Part IX A-Scoring Criteria'!O53</f>
        <v>0</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4145</v>
      </c>
      <c r="C1611" s="2748"/>
      <c r="D1611" s="2784"/>
      <c r="E1611" s="2748"/>
      <c r="F1611" s="2748"/>
      <c r="G1611" s="2748"/>
      <c r="H1611" s="2748"/>
      <c r="I1611" s="2518" t="s">
        <v>3795</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3883</v>
      </c>
      <c r="C1613" s="2748"/>
      <c r="D1613" s="2355"/>
      <c r="E1613" s="2748"/>
      <c r="F1613" s="2748"/>
      <c r="G1613" s="2748"/>
      <c r="H1613" s="2748"/>
      <c r="I1613" s="2748"/>
      <c r="J1613" s="2748"/>
      <c r="K1613" s="2748"/>
      <c r="L1613" s="2748"/>
      <c r="M1613" s="2748"/>
      <c r="N1613" s="2703"/>
      <c r="O1613" s="2668">
        <f>'Part IX A-Scoring Criteria'!O59</f>
        <v>0</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2737</v>
      </c>
      <c r="H1614" s="2748"/>
      <c r="I1614" s="2587" t="s">
        <v>4812</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2725</v>
      </c>
      <c r="S1614" s="2748"/>
      <c r="T1614" s="2748"/>
      <c r="U1614" s="2748"/>
      <c r="V1614" s="2748"/>
      <c r="W1614" s="2748"/>
      <c r="X1614" s="2748"/>
      <c r="Y1614" s="2748"/>
      <c r="Z1614" s="2748"/>
    </row>
    <row r="1615" spans="1:26" ht="16.5">
      <c r="A1615" s="2581" t="s">
        <v>2001</v>
      </c>
      <c r="B1615" s="2570" t="s">
        <v>3872</v>
      </c>
      <c r="C1615" s="2748"/>
      <c r="D1615" s="2784"/>
      <c r="E1615" s="2748"/>
      <c r="F1615" s="2789"/>
      <c r="G1615" s="2357" t="s">
        <v>4023</v>
      </c>
      <c r="H1615" s="2748"/>
      <c r="I1615" s="2587"/>
      <c r="J1615" s="2587"/>
      <c r="K1615" s="2587"/>
      <c r="L1615" s="2587"/>
      <c r="M1615" s="2660" t="s">
        <v>1250</v>
      </c>
      <c r="N1615" s="2703" t="s">
        <v>2001</v>
      </c>
      <c r="O1615" s="2786">
        <f>'Part IX A-Scoring Criteria'!O61</f>
        <v>0</v>
      </c>
      <c r="P1615" s="2786">
        <f>'Part IX A-Scoring Criteria'!P61</f>
        <v>0</v>
      </c>
      <c r="Q1615" s="2748"/>
      <c r="R1615" s="2788" t="s">
        <v>2725</v>
      </c>
      <c r="S1615" s="2748"/>
      <c r="T1615" s="2748"/>
      <c r="U1615" s="2748"/>
      <c r="V1615" s="2748"/>
      <c r="W1615" s="2748"/>
      <c r="X1615" s="2748"/>
      <c r="Y1615" s="2748"/>
      <c r="Z1615" s="2748"/>
    </row>
    <row r="1616" spans="1:26" ht="15">
      <c r="A1616" s="2355"/>
      <c r="B1616" s="2767" t="s">
        <v>3780</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 xml:space="preserve">Abbington on Cheshire Bridge is located within a 1.5-mile driving/walking distance (rural) of the following amenities: Publix grocery; Georgia Department of Community Affairs; Morningside Nature Preserve park; TMJ Dentist Atlanta; Atlanta Fire-Rescue Station 29; Taquira del Sol restaurant; Chase Bank; Rock Spring Presbyterian Church; U.S. Post Office; and CVS Pharmacy.  Of these amenities, several are also located within a half-mile walking/driving distance from the development site: Morningside Nature Preserve park; Taquira del Sol restaurant; and CVS Pharmacy.  Therefore, Abbington on Cheshire Bridge is eligible for a total of 13 points and is able to attain the full 10 desireable points in this section.  The develoipment is not located within a food desert, which is defined for a rural area as a low-income census tract where a significant number of residents are more than 20 miles from a supermarket.  The closest supermarket to Abbington on Cheshire Bridge is Publix Supermarket located 0.8 mile from the site.  There are no undesirable activities or characterisitics observed within a 0.25-mile radius from the site.  </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5</v>
      </c>
      <c r="P1621" s="2747">
        <f>'Part IX A-Scoring Criteria'!P67</f>
        <v>0</v>
      </c>
      <c r="Q1621" s="2563" t="s">
        <v>443</v>
      </c>
      <c r="R1621" s="2791" t="s">
        <v>4813</v>
      </c>
      <c r="S1621" s="2791"/>
      <c r="T1621" s="2791"/>
      <c r="U1621" s="2791"/>
      <c r="V1621" s="2748"/>
      <c r="W1621" s="2748"/>
      <c r="X1621" s="2748"/>
      <c r="Y1621" s="2748"/>
      <c r="Z1621" s="2748"/>
    </row>
    <row r="1622" spans="1:26" ht="15">
      <c r="A1622" s="2749"/>
      <c r="B1622" s="2556" t="s">
        <v>3994</v>
      </c>
      <c r="C1622" s="2748"/>
      <c r="D1622" s="2784"/>
      <c r="E1622" s="2748"/>
      <c r="F1622" s="2748"/>
      <c r="G1622" s="2748"/>
      <c r="H1622" s="2570" t="s">
        <v>2813</v>
      </c>
      <c r="I1622" s="2605"/>
      <c r="J1622" s="2570" t="str">
        <f>'Part I-Project Information'!$H$100</f>
        <v>Flexible</v>
      </c>
      <c r="K1622" s="2556"/>
      <c r="L1622" s="2748"/>
      <c r="M1622" s="2563"/>
      <c r="N1622" s="2703"/>
      <c r="O1622" s="2792" t="s">
        <v>3621</v>
      </c>
      <c r="P1622" s="2792" t="s">
        <v>3622</v>
      </c>
      <c r="Q1622" s="2563"/>
      <c r="R1622" s="2791"/>
      <c r="S1622" s="2791"/>
      <c r="T1622" s="2791"/>
      <c r="U1622" s="2791"/>
      <c r="V1622" s="2748"/>
      <c r="W1622" s="2748"/>
      <c r="X1622" s="2748"/>
      <c r="Y1622" s="2748"/>
      <c r="Z1622" s="2748"/>
    </row>
    <row r="1623" spans="1:26" ht="15">
      <c r="A1623" s="2749"/>
      <c r="B1623" s="2793" t="s">
        <v>2002</v>
      </c>
      <c r="C1623" s="1156" t="s">
        <v>3620</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3992</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3993</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4001</v>
      </c>
      <c r="C1627" s="2748"/>
      <c r="D1627" s="2784"/>
      <c r="E1627" s="2748"/>
      <c r="F1627" s="2556" t="s">
        <v>3742</v>
      </c>
      <c r="G1627" s="2556"/>
      <c r="H1627" s="2556"/>
      <c r="I1627" s="2556"/>
      <c r="J1627" s="2556" t="s">
        <v>3743</v>
      </c>
      <c r="K1627" s="2556"/>
      <c r="L1627" s="2556"/>
      <c r="M1627" s="2556"/>
      <c r="N1627" s="2703"/>
      <c r="O1627" s="2519" t="s">
        <v>4814</v>
      </c>
      <c r="P1627" s="2794"/>
      <c r="Q1627" s="2563"/>
      <c r="R1627" s="2791"/>
      <c r="S1627" s="2791"/>
      <c r="T1627" s="2791"/>
      <c r="U1627" s="2791"/>
      <c r="V1627" s="2748"/>
      <c r="W1627" s="2748"/>
      <c r="X1627" s="2748"/>
      <c r="Y1627" s="2748"/>
      <c r="Z1627" s="2748"/>
    </row>
    <row r="1628" spans="1:26" ht="15">
      <c r="A1628" s="2749"/>
      <c r="B1628" s="2748"/>
      <c r="C1628" s="2556" t="s">
        <v>4000</v>
      </c>
      <c r="D1628" s="2440"/>
      <c r="E1628" s="2363"/>
      <c r="F1628" s="2367">
        <f>'Part IX A-Scoring Criteria'!F74</f>
        <v>33.812044999999998</v>
      </c>
      <c r="G1628" s="2367">
        <f>'Part IX A-Scoring Criteria'!G74</f>
        <v>0</v>
      </c>
      <c r="H1628" s="2367">
        <f>'Part IX A-Scoring Criteria'!H74</f>
        <v>0</v>
      </c>
      <c r="I1628" s="2367">
        <f>'Part IX A-Scoring Criteria'!I74</f>
        <v>0</v>
      </c>
      <c r="J1628" s="2367">
        <f>'Part IX A-Scoring Criteria'!J74</f>
        <v>-84.355362999999997</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4002</v>
      </c>
      <c r="E1629" s="2363"/>
      <c r="F1629" s="2367">
        <f>'Part IX A-Scoring Criteria'!F75</f>
        <v>33.818469</v>
      </c>
      <c r="G1629" s="2367">
        <f>'Part IX A-Scoring Criteria'!G75</f>
        <v>0</v>
      </c>
      <c r="H1629" s="2367">
        <f>'Part IX A-Scoring Criteria'!H75</f>
        <v>0</v>
      </c>
      <c r="I1629" s="2367">
        <f>'Part IX A-Scoring Criteria'!I75</f>
        <v>0</v>
      </c>
      <c r="J1629" s="2367">
        <f>'Part IX A-Scoring Criteria'!J75</f>
        <v>-84.352039000000005</v>
      </c>
      <c r="K1629" s="2367">
        <f>'Part IX A-Scoring Criteria'!K75</f>
        <v>0</v>
      </c>
      <c r="L1629" s="2367">
        <f>'Part IX A-Scoring Criteria'!L75</f>
        <v>0</v>
      </c>
      <c r="M1629" s="2367">
        <f>'Part IX A-Scoring Criteria'!M75</f>
        <v>0</v>
      </c>
      <c r="N1629" s="2703"/>
      <c r="O1629" s="2795">
        <f>'Part IX A-Scoring Criteria'!O75</f>
        <v>0.5</v>
      </c>
      <c r="P1629" s="2795">
        <f>'Part IX A-Scoring Criteria'!P75</f>
        <v>0</v>
      </c>
      <c r="Q1629" s="2563"/>
      <c r="R1629" s="2791"/>
      <c r="S1629" s="2791"/>
      <c r="T1629" s="2791"/>
      <c r="U1629" s="2791"/>
      <c r="V1629" s="2748"/>
      <c r="W1629" s="2748"/>
      <c r="X1629" s="2748"/>
      <c r="Y1629" s="2748"/>
      <c r="Z1629" s="2748"/>
    </row>
    <row r="1630" spans="1:26" ht="15" customHeight="1">
      <c r="A1630" s="2653" t="s">
        <v>4192</v>
      </c>
      <c r="B1630" s="2653"/>
      <c r="C1630" s="2556" t="s">
        <v>4143</v>
      </c>
      <c r="D1630" s="2440"/>
      <c r="E1630" s="2363"/>
      <c r="F1630" s="2367">
        <f>'Part IX A-Scoring Criteria'!F76</f>
        <v>33.812044999999998</v>
      </c>
      <c r="G1630" s="2367">
        <f>'Part IX A-Scoring Criteria'!G76</f>
        <v>0</v>
      </c>
      <c r="H1630" s="2367">
        <f>'Part IX A-Scoring Criteria'!H76</f>
        <v>0</v>
      </c>
      <c r="I1630" s="2367">
        <f>'Part IX A-Scoring Criteria'!I76</f>
        <v>0</v>
      </c>
      <c r="J1630" s="2367">
        <f>'Part IX A-Scoring Criteria'!J76</f>
        <v>-84.355362999999997</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4141</v>
      </c>
      <c r="E1631" s="2363"/>
      <c r="F1631" s="2367">
        <f>'Part IX A-Scoring Criteria'!F77</f>
        <v>33.818925</v>
      </c>
      <c r="G1631" s="2367">
        <f>'Part IX A-Scoring Criteria'!G77</f>
        <v>0</v>
      </c>
      <c r="H1631" s="2367">
        <f>'Part IX A-Scoring Criteria'!H77</f>
        <v>0</v>
      </c>
      <c r="I1631" s="2367">
        <f>'Part IX A-Scoring Criteria'!I77</f>
        <v>0</v>
      </c>
      <c r="J1631" s="2367">
        <f>'Part IX A-Scoring Criteria'!J77</f>
        <v>-84.352941999999999</v>
      </c>
      <c r="K1631" s="2367">
        <f>'Part IX A-Scoring Criteria'!K77</f>
        <v>0</v>
      </c>
      <c r="L1631" s="2367">
        <f>'Part IX A-Scoring Criteria'!L77</f>
        <v>0</v>
      </c>
      <c r="M1631" s="2367">
        <f>'Part IX A-Scoring Criteria'!M77</f>
        <v>0</v>
      </c>
      <c r="N1631" s="2703"/>
      <c r="O1631" s="2795">
        <f>'Part IX A-Scoring Criteria'!O77</f>
        <v>0.6</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2804</v>
      </c>
      <c r="B1633" s="2750"/>
      <c r="C1633" s="2748"/>
      <c r="D1633" s="2784"/>
      <c r="E1633" s="2748"/>
      <c r="F1633" s="2797" t="s">
        <v>4815</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3773</v>
      </c>
      <c r="C1634" s="2748"/>
      <c r="D1634" s="2784"/>
      <c r="E1634" s="2748"/>
      <c r="F1634" s="2767" t="s">
        <v>4816</v>
      </c>
      <c r="G1634" s="2748"/>
      <c r="H1634" s="2748"/>
      <c r="I1634" s="2798" t="s">
        <v>4817</v>
      </c>
      <c r="J1634" s="2798"/>
      <c r="K1634" s="2798"/>
      <c r="L1634" s="2798"/>
      <c r="M1634" s="2563">
        <v>6</v>
      </c>
      <c r="N1634" s="2774" t="s">
        <v>1999</v>
      </c>
      <c r="O1634" s="2623">
        <f>'Part IX A-Scoring Criteria'!O80</f>
        <v>5</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4818</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2725</v>
      </c>
      <c r="S1635" s="2799"/>
      <c r="T1635" s="2799"/>
      <c r="U1635" s="2799"/>
      <c r="V1635" s="2799"/>
      <c r="W1635" s="2799"/>
      <c r="X1635" s="2799"/>
      <c r="Y1635" s="2799"/>
      <c r="Z1635" s="2799"/>
    </row>
    <row r="1636" spans="1:26" ht="15" customHeight="1">
      <c r="A1636" s="2668" t="s">
        <v>1365</v>
      </c>
      <c r="B1636" s="2800" t="s">
        <v>2004</v>
      </c>
      <c r="C1636" s="2687" t="s">
        <v>4819</v>
      </c>
      <c r="D1636" s="2687"/>
      <c r="E1636" s="2687"/>
      <c r="F1636" s="2687"/>
      <c r="G1636" s="2687"/>
      <c r="H1636" s="2687"/>
      <c r="I1636" s="2798"/>
      <c r="J1636" s="2798"/>
      <c r="K1636" s="2798"/>
      <c r="L1636" s="2798"/>
      <c r="M1636" s="2801">
        <v>4</v>
      </c>
      <c r="N1636" s="2793" t="s">
        <v>2004</v>
      </c>
      <c r="O1636" s="2786">
        <f>'Part IX A-Scoring Criteria'!O82</f>
        <v>4</v>
      </c>
      <c r="P1636" s="2786">
        <f>'Part IX A-Scoring Criteria'!P82</f>
        <v>0</v>
      </c>
      <c r="Q1636" s="2787" t="str">
        <f t="shared" ref="Q1636:Q1637" si="321">IF(OR($O1636=$M1636,$O1636=0,$O1636=""),"","*CHECK!*")</f>
        <v/>
      </c>
      <c r="R1636" s="2788" t="s">
        <v>2725</v>
      </c>
      <c r="S1636" s="2799"/>
      <c r="T1636" s="2799"/>
      <c r="U1636" s="2799"/>
      <c r="V1636" s="2799"/>
      <c r="W1636" s="2799"/>
      <c r="X1636" s="2799"/>
      <c r="Y1636" s="2799"/>
      <c r="Z1636" s="2799"/>
    </row>
    <row r="1637" spans="1:26" ht="15" customHeight="1">
      <c r="A1637" s="2799"/>
      <c r="B1637" s="2800" t="s">
        <v>2551</v>
      </c>
      <c r="C1637" s="2687" t="s">
        <v>3774</v>
      </c>
      <c r="D1637" s="2687"/>
      <c r="E1637" s="2687"/>
      <c r="F1637" s="2687"/>
      <c r="G1637" s="2703" t="s">
        <v>4140</v>
      </c>
      <c r="H1637" s="2695" t="str">
        <f>'Part I-Project Information'!$H$78</f>
        <v>Family</v>
      </c>
      <c r="I1637" s="2433" t="str">
        <f>'Part IX A-Scoring Criteria'!I83</f>
        <v>Metro Atlanta Rapid Transit Agency (MARTA)</v>
      </c>
      <c r="J1637" s="2433">
        <f>'Part IX A-Scoring Criteria'!J83</f>
        <v>0</v>
      </c>
      <c r="K1637" s="2433">
        <f>'Part IX A-Scoring Criteria'!K83</f>
        <v>0</v>
      </c>
      <c r="L1637" s="2802" t="str">
        <f>'Part IX A-Scoring Criteria'!L83</f>
        <v>&lt;Enter phone here&gt;</v>
      </c>
      <c r="M1637" s="2801">
        <v>1</v>
      </c>
      <c r="N1637" s="2793" t="s">
        <v>2551</v>
      </c>
      <c r="O1637" s="2786">
        <f>'Part IX A-Scoring Criteria'!O83</f>
        <v>1</v>
      </c>
      <c r="P1637" s="2786">
        <f>'Part IX A-Scoring Criteria'!P83</f>
        <v>0</v>
      </c>
      <c r="Q1637" s="2787" t="str">
        <f t="shared" si="321"/>
        <v/>
      </c>
      <c r="R1637" s="2788" t="s">
        <v>2725</v>
      </c>
      <c r="S1637" s="2799"/>
      <c r="T1637" s="2799"/>
      <c r="U1637" s="2799"/>
      <c r="V1637" s="2799"/>
      <c r="W1637" s="2799"/>
      <c r="X1637" s="2799"/>
      <c r="Y1637" s="2799"/>
      <c r="Z1637" s="2799"/>
    </row>
    <row r="1638" spans="1:26" ht="15">
      <c r="A1638" s="2702" t="s">
        <v>2001</v>
      </c>
      <c r="B1638" s="2803" t="s">
        <v>3775</v>
      </c>
      <c r="C1638" s="1327"/>
      <c r="D1638" s="1327"/>
      <c r="E1638" s="1327"/>
      <c r="F1638" s="2804" t="s">
        <v>4820</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2</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4821</v>
      </c>
      <c r="D1639" s="2627"/>
      <c r="E1639" s="2627"/>
      <c r="F1639" s="2627"/>
      <c r="G1639" s="2627"/>
      <c r="H1639" s="2627"/>
      <c r="I1639" s="2433" t="str">
        <f>'Part IX A-Scoring Criteria'!I85</f>
        <v>http://www.itsmarta.com/bus-schedules.aspx</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2725</v>
      </c>
      <c r="S1639" s="2799"/>
      <c r="T1639" s="2799"/>
      <c r="U1639" s="2799"/>
      <c r="V1639" s="2799"/>
      <c r="W1639" s="2799"/>
      <c r="X1639" s="2799"/>
      <c r="Y1639" s="2799"/>
      <c r="Z1639" s="2799"/>
    </row>
    <row r="1640" spans="1:26" ht="15" customHeight="1">
      <c r="A1640" s="2714" t="s">
        <v>1365</v>
      </c>
      <c r="B1640" s="2800" t="s">
        <v>2004</v>
      </c>
      <c r="C1640" s="2627" t="s">
        <v>4822</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2</v>
      </c>
      <c r="P1640" s="2786">
        <f>'Part IX A-Scoring Criteria'!P86</f>
        <v>0</v>
      </c>
      <c r="Q1640" s="2787" t="str">
        <f t="shared" ref="Q1640:Q1641" si="322">IF(OR($O1640=$M1640,$O1640=0,$O1640=""),"","*CHECK!*")</f>
        <v/>
      </c>
      <c r="R1640" s="2788" t="s">
        <v>2725</v>
      </c>
      <c r="S1640" s="2748"/>
      <c r="T1640" s="2748"/>
      <c r="U1640" s="2748"/>
      <c r="V1640" s="2748"/>
      <c r="W1640" s="2748"/>
      <c r="X1640" s="2748"/>
      <c r="Y1640" s="2748"/>
      <c r="Z1640" s="2748"/>
    </row>
    <row r="1641" spans="1:26" ht="15" customHeight="1">
      <c r="A1641" s="2714" t="s">
        <v>1365</v>
      </c>
      <c r="B1641" s="2800" t="s">
        <v>2551</v>
      </c>
      <c r="C1641" s="2662" t="s">
        <v>4823</v>
      </c>
      <c r="D1641" s="2662"/>
      <c r="E1641" s="2662"/>
      <c r="F1641" s="2662"/>
      <c r="G1641" s="2662"/>
      <c r="H1641" s="2662"/>
      <c r="I1641" s="2433" t="str">
        <f>'Part IX A-Scoring Criteria'!I87</f>
        <v>http://www.itsmarta.com/bus-routes.aspx</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2725</v>
      </c>
      <c r="S1641" s="2748"/>
      <c r="T1641" s="2748"/>
      <c r="U1641" s="2748"/>
      <c r="V1641" s="2748"/>
      <c r="W1641" s="2748"/>
      <c r="X1641" s="2748"/>
      <c r="Y1641" s="2748"/>
      <c r="Z1641" s="2748"/>
    </row>
    <row r="1642" spans="1:26" ht="15">
      <c r="A1642" s="2796" t="s">
        <v>2806</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4824</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2725</v>
      </c>
      <c r="S1643" s="2766"/>
      <c r="T1643" s="2766"/>
      <c r="U1643" s="2766"/>
      <c r="V1643" s="2766"/>
      <c r="W1643" s="2766"/>
      <c r="X1643" s="2766"/>
      <c r="Y1643" s="2766"/>
      <c r="Z1643" s="2766"/>
    </row>
    <row r="1644" spans="1:26" ht="15">
      <c r="A1644" s="478" t="s">
        <v>4825</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4826</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2813</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4004</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4009</v>
      </c>
      <c r="D1653" s="2811"/>
      <c r="E1653" s="2811"/>
      <c r="F1653" s="2811"/>
      <c r="G1653" s="2811"/>
      <c r="H1653" s="2811"/>
      <c r="I1653" s="2747">
        <f>'Part IX A-Scoring Criteria'!I99</f>
        <v>45</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4010</v>
      </c>
      <c r="D1654" s="2811"/>
      <c r="E1654" s="2811"/>
      <c r="F1654" s="2811"/>
      <c r="G1654" s="2811"/>
      <c r="H1654" s="2811"/>
      <c r="I1654" s="2747">
        <f>'Part IX A-Scoring Criteria'!I100</f>
        <v>62</v>
      </c>
      <c r="J1654" s="2747">
        <f>'Part IX A-Scoring Criteria'!J100</f>
        <v>0</v>
      </c>
      <c r="K1654" s="2602"/>
      <c r="L1654" s="2811"/>
      <c r="M1654" s="2811"/>
      <c r="N1654" s="2811"/>
      <c r="O1654" s="2811" t="s">
        <v>4018</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4827</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2725</v>
      </c>
    </row>
    <row r="1657" spans="1:26" ht="13.5" customHeight="1">
      <c r="A1657" s="2581" t="s">
        <v>2001</v>
      </c>
      <c r="B1657" s="2570" t="s">
        <v>312</v>
      </c>
      <c r="D1657" s="2355"/>
      <c r="E1657" s="2355"/>
      <c r="K1657" s="2525"/>
      <c r="L1657" s="2525"/>
      <c r="M1657" s="2801">
        <v>1</v>
      </c>
      <c r="N1657" s="2703" t="s">
        <v>2001</v>
      </c>
      <c r="O1657" s="2786">
        <f>'Part IX A-Scoring Criteria'!O103</f>
        <v>0</v>
      </c>
      <c r="P1657" s="2786">
        <f>'Part IX A-Scoring Criteria'!P103</f>
        <v>0</v>
      </c>
      <c r="Q1657" s="2787" t="str">
        <f t="shared" ref="Q1657:Q1659" si="323">IF(OR($O1657=$M1657,$O1657=0,$O1657=""),"","*CHECK!*")</f>
        <v/>
      </c>
      <c r="R1657" s="2788" t="s">
        <v>2725</v>
      </c>
    </row>
    <row r="1658" spans="1:26" ht="13.5" customHeight="1">
      <c r="A1658" s="2581" t="s">
        <v>757</v>
      </c>
      <c r="B1658" s="2570" t="s">
        <v>4828</v>
      </c>
      <c r="D1658" s="2355"/>
      <c r="E1658" s="2355"/>
      <c r="F1658" s="2355"/>
      <c r="K1658" s="2525"/>
      <c r="L1658" s="2525"/>
      <c r="M1658" s="2801">
        <v>3</v>
      </c>
      <c r="N1658" s="2703" t="s">
        <v>757</v>
      </c>
      <c r="O1658" s="2786">
        <f>'Part IX A-Scoring Criteria'!O104</f>
        <v>3</v>
      </c>
      <c r="P1658" s="2786">
        <f>'Part IX A-Scoring Criteria'!P104</f>
        <v>0</v>
      </c>
      <c r="Q1658" s="2787" t="str">
        <f t="shared" si="323"/>
        <v/>
      </c>
      <c r="R1658" s="2788" t="s">
        <v>2725</v>
      </c>
    </row>
    <row r="1659" spans="1:26" ht="13.5" customHeight="1">
      <c r="A1659" s="2581" t="s">
        <v>2131</v>
      </c>
      <c r="B1659" s="2570" t="s">
        <v>3804</v>
      </c>
      <c r="D1659" s="2355"/>
      <c r="E1659" s="2355"/>
      <c r="F1659" s="478" t="s">
        <v>4020</v>
      </c>
      <c r="J1659" s="2563" t="str">
        <f>'Part IX A-Scoring Criteria'!J105</f>
        <v>&lt;Select &gt;</v>
      </c>
      <c r="K1659" s="2525"/>
      <c r="L1659" s="2525"/>
      <c r="M1659" s="2801">
        <v>1</v>
      </c>
      <c r="N1659" s="2703" t="s">
        <v>2131</v>
      </c>
      <c r="O1659" s="2786">
        <f>'Part IX A-Scoring Criteria'!O105</f>
        <v>0</v>
      </c>
      <c r="P1659" s="2786">
        <f>'Part IX A-Scoring Criteria'!P105</f>
        <v>0</v>
      </c>
      <c r="Q1659" s="2787" t="str">
        <f t="shared" si="323"/>
        <v/>
      </c>
      <c r="R1659" s="2788" t="s">
        <v>2725</v>
      </c>
    </row>
    <row r="1660" spans="1:26" ht="15">
      <c r="A1660" s="2355"/>
      <c r="B1660" s="2767" t="s">
        <v>3780</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 xml:space="preserve">Abbington on Cheshire Bridge has committed to comply with the Enterprise Foundation Green Communities Certification program and achieve ten additional points over the baseline certification level. Rea Ventures has worked with SK Collaborative- an Enterprise Qualified TA Provider- to develop a compliant worksheet to achieve this standard. Currently, Abbington on Cheshire Bridge is tracking 62 points in the program including compliance with all mandatory program requirements.  Basic certification level for Enterprise Green Communities requires 35 points for compliance and QAP Exceptional certification requires 35+10. </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4021</v>
      </c>
      <c r="C1665" s="2748"/>
      <c r="D1665" s="478"/>
      <c r="E1665" s="478"/>
      <c r="F1665" s="2563"/>
      <c r="G1665" s="2563"/>
      <c r="H1665" s="2563"/>
      <c r="I1665" s="2797" t="s">
        <v>4815</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4022</v>
      </c>
      <c r="C1667" s="2766"/>
      <c r="D1667" s="2784"/>
      <c r="E1667" s="1156" t="s">
        <v>4147</v>
      </c>
      <c r="F1667" s="2748"/>
      <c r="G1667" s="2695"/>
      <c r="H1667" s="2748"/>
      <c r="I1667" s="2703" t="s">
        <v>4140</v>
      </c>
      <c r="J1667" s="2695" t="str">
        <f>'Part I-Project Information'!$H$78</f>
        <v>Family</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2725</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4024</v>
      </c>
      <c r="C1669" s="2766"/>
      <c r="D1669" s="2813"/>
      <c r="E1669" s="2407" t="s">
        <v>4255</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4177</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202.5">
      <c r="A1671" s="2701"/>
      <c r="B1671" s="478"/>
      <c r="C1671" s="2818" t="s">
        <v>4178</v>
      </c>
      <c r="D1671" s="2627" t="str">
        <f>'Part IX A-Scoring Criteria'!D117</f>
        <v>Used both public and partner-provided data.  Public data sources included Fulton County Health Roadmap and CHNA's for Fulton County from Piedmont, Mercy Care, and Southern Regional hospitals.</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4025</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2725</v>
      </c>
      <c r="S1673" s="2815"/>
      <c r="T1673" s="2815"/>
      <c r="U1673" s="2766"/>
      <c r="V1673" s="2766"/>
      <c r="W1673" s="2766"/>
      <c r="X1673" s="2766"/>
      <c r="Y1673" s="2766"/>
      <c r="Z1673" s="2766"/>
    </row>
    <row r="1674" spans="1:26" ht="18.75">
      <c r="A1674" s="2581"/>
      <c r="B1674" s="2819"/>
      <c r="C1674" s="478" t="s">
        <v>4026</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51">
      <c r="A1675" s="2581"/>
      <c r="B1675" s="2819"/>
      <c r="C1675" s="478" t="s">
        <v>4829</v>
      </c>
      <c r="D1675" s="2357" t="s">
        <v>4148</v>
      </c>
      <c r="E1675" s="2766"/>
      <c r="F1675" s="478"/>
      <c r="G1675" s="478"/>
      <c r="H1675" s="2518" t="str">
        <f>'Part IX A-Scoring Criteria'!H121</f>
        <v>Homecare Medicine of Atlanta (www.hcmatl.com)</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4029</v>
      </c>
      <c r="D1676" s="2766"/>
      <c r="E1676" s="478"/>
      <c r="F1676" s="478"/>
      <c r="G1676" s="478"/>
      <c r="H1676" s="2766"/>
      <c r="I1676" s="2766"/>
      <c r="J1676" s="2766"/>
      <c r="K1676" s="2766"/>
      <c r="L1676" s="2766"/>
      <c r="M1676" s="2554"/>
      <c r="N1676" s="2713" t="s">
        <v>3808</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4030</v>
      </c>
      <c r="D1677" s="478"/>
      <c r="E1677" s="478"/>
      <c r="F1677" s="478"/>
      <c r="G1677" s="478"/>
      <c r="H1677" s="478"/>
      <c r="I1677" s="478"/>
      <c r="J1677" s="478"/>
      <c r="K1677" s="478"/>
      <c r="L1677" s="478"/>
      <c r="M1677" s="2660"/>
      <c r="N1677" s="2703" t="s">
        <v>3809</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4175</v>
      </c>
      <c r="D1678" s="1156"/>
      <c r="E1678" s="478"/>
      <c r="F1678" s="478"/>
      <c r="G1678" s="478"/>
      <c r="H1678" s="1156"/>
      <c r="I1678" s="1156"/>
      <c r="J1678" s="1156"/>
      <c r="K1678" s="1156"/>
      <c r="L1678" s="2725" t="s">
        <v>3845</v>
      </c>
      <c r="M1678" s="2725"/>
      <c r="N1678" s="2725"/>
      <c r="O1678" s="2725" t="s">
        <v>3844</v>
      </c>
      <c r="P1678" s="2725"/>
      <c r="Q1678" s="478"/>
      <c r="R1678" s="1156"/>
      <c r="S1678" s="1156"/>
      <c r="T1678" s="1156"/>
      <c r="U1678" s="1156"/>
      <c r="V1678" s="1156"/>
      <c r="W1678" s="1156"/>
      <c r="X1678" s="1156"/>
      <c r="Y1678" s="1156"/>
      <c r="Z1678" s="1156"/>
    </row>
    <row r="1679" spans="1:26" ht="191.25">
      <c r="A1679" s="2701"/>
      <c r="B1679" s="2703"/>
      <c r="C1679" s="2662" t="str">
        <f>'Part IX A-Scoring Criteria'!C125</f>
        <v xml:space="preserve">Health Screenings (flu shots, diabetes, blood pressure), Healthy Weigth and Body Assessments, General Risk Assessments, Depression/Abuse Counseling        </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14</v>
      </c>
      <c r="P1679" s="2821">
        <f>'Part IX A-Scoring Criteria'!P125</f>
        <v>0</v>
      </c>
      <c r="Q1679" s="2659" t="str">
        <f>IF(O1679&gt;15, "Too much!","")</f>
        <v/>
      </c>
      <c r="R1679" s="1156"/>
      <c r="S1679" s="1156"/>
      <c r="T1679" s="1156"/>
      <c r="U1679" s="1156"/>
      <c r="V1679" s="1156"/>
      <c r="W1679" s="1156"/>
      <c r="X1679" s="1156"/>
      <c r="Y1679" s="1156"/>
      <c r="Z1679" s="1156"/>
    </row>
    <row r="1680" spans="1:26" ht="56.25">
      <c r="A1680" s="2701"/>
      <c r="B1680" s="2713"/>
      <c r="C1680" s="2662" t="str">
        <f>'Part IX A-Scoring Criteria'!C126</f>
        <v>Healthy Living and Healthy Eating Seminars</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ht="45">
      <c r="A1681" s="2701"/>
      <c r="B1681" s="2703"/>
      <c r="C1681" s="2662" t="str">
        <f>'Part IX A-Scoring Criteria'!C127</f>
        <v>Fitness Center and Fitness Classes</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Daily</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ht="22.5">
      <c r="A1682" s="2701"/>
      <c r="B1682" s="2703"/>
      <c r="C1682" s="2662" t="str">
        <f>'Part IX A-Scoring Criteria'!C128</f>
        <v>Community Garden</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Daily</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4830</v>
      </c>
      <c r="D1683" s="478" t="s">
        <v>4031</v>
      </c>
      <c r="E1683" s="478"/>
      <c r="F1683" s="478"/>
      <c r="G1683" s="478"/>
      <c r="H1683" s="2766"/>
      <c r="I1683" s="2766"/>
      <c r="J1683" s="2766"/>
      <c r="K1683" s="2766"/>
      <c r="L1683" s="2766"/>
      <c r="M1683" s="2766"/>
      <c r="N1683" s="2713" t="s">
        <v>3808</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4032</v>
      </c>
      <c r="E1684" s="478"/>
      <c r="F1684" s="478"/>
      <c r="G1684" s="478"/>
      <c r="H1684" s="2766"/>
      <c r="I1684" s="2766"/>
      <c r="J1684" s="2766"/>
      <c r="K1684" s="2766"/>
      <c r="L1684" s="2766"/>
      <c r="M1684" s="2554"/>
      <c r="N1684" s="2703" t="s">
        <v>3809</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4180</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4209</v>
      </c>
      <c r="D1686" s="2701"/>
      <c r="E1686" s="2701"/>
      <c r="F1686" s="2701"/>
      <c r="G1686" s="2668" t="str">
        <f>'Part IX A-Scoring Criteria'!G132</f>
        <v>Yes</v>
      </c>
      <c r="H1686" s="2668">
        <f>'Part IX A-Scoring Criteria'!H132</f>
        <v>0</v>
      </c>
      <c r="I1686" s="2598" t="s">
        <v>4212</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4210</v>
      </c>
      <c r="D1687" s="2701"/>
      <c r="E1687" s="2701"/>
      <c r="F1687" s="2701"/>
      <c r="G1687" s="2668" t="str">
        <f>'Part IX A-Scoring Criteria'!G133</f>
        <v>Yes</v>
      </c>
      <c r="H1687" s="2668">
        <f>'Part IX A-Scoring Criteria'!H133</f>
        <v>0</v>
      </c>
      <c r="I1687" s="478" t="s">
        <v>4213</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4211</v>
      </c>
      <c r="D1688" s="2701"/>
      <c r="E1688" s="2701"/>
      <c r="F1688" s="2701"/>
      <c r="G1688" s="2668" t="str">
        <f>'Part IX A-Scoring Criteria'!G134</f>
        <v>Yes</v>
      </c>
      <c r="H1688" s="2668">
        <f>'Part IX A-Scoring Criteria'!H134</f>
        <v>0</v>
      </c>
      <c r="I1688" s="2598" t="s">
        <v>4214</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3846</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2725</v>
      </c>
      <c r="S1691" s="2815"/>
      <c r="T1691" s="2815"/>
      <c r="U1691" s="2815"/>
      <c r="V1691" s="2799"/>
      <c r="W1691" s="2799"/>
      <c r="X1691" s="2799"/>
      <c r="Y1691" s="2799"/>
      <c r="Z1691" s="2799"/>
    </row>
    <row r="1692" spans="1:26" ht="18.75">
      <c r="A1692" s="2701"/>
      <c r="B1692" s="478"/>
      <c r="C1692" s="478" t="s">
        <v>4033</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4831</v>
      </c>
      <c r="D1693" s="2731"/>
      <c r="E1693" s="2731"/>
      <c r="F1693" s="2731"/>
      <c r="G1693" s="2598" t="s">
        <v>4035</v>
      </c>
      <c r="H1693" s="478"/>
      <c r="I1693" s="2731"/>
      <c r="J1693" s="2731"/>
      <c r="K1693" s="2731"/>
      <c r="L1693" s="2731"/>
      <c r="M1693" s="2703" t="s">
        <v>2451</v>
      </c>
      <c r="N1693" s="2703" t="s">
        <v>3808</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4036</v>
      </c>
      <c r="H1694" s="478"/>
      <c r="I1694" s="2731"/>
      <c r="J1694" s="2731"/>
      <c r="K1694" s="2731"/>
      <c r="L1694" s="2731"/>
      <c r="M1694" s="2660"/>
      <c r="N1694" s="2713" t="s">
        <v>3809</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4037</v>
      </c>
      <c r="H1695" s="478"/>
      <c r="I1695" s="2731"/>
      <c r="J1695" s="2731"/>
      <c r="K1695" s="2731"/>
      <c r="L1695" s="2731"/>
      <c r="M1695" s="2660"/>
      <c r="N1695" s="2703" t="s">
        <v>3810</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4038</v>
      </c>
      <c r="H1696" s="478"/>
      <c r="I1696" s="2731"/>
      <c r="J1696" s="2731"/>
      <c r="K1696" s="2731"/>
      <c r="L1696" s="2731"/>
      <c r="M1696" s="2660"/>
      <c r="N1696" s="2703" t="s">
        <v>3812</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4039</v>
      </c>
      <c r="H1697" s="478"/>
      <c r="I1697" s="2731"/>
      <c r="J1697" s="2731"/>
      <c r="K1697" s="2731"/>
      <c r="L1697" s="2731"/>
      <c r="M1697" s="2660"/>
      <c r="N1697" s="2713" t="s">
        <v>3813</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4832</v>
      </c>
      <c r="D1698" s="2731"/>
      <c r="E1698" s="2731"/>
      <c r="F1698" s="2731"/>
      <c r="G1698" s="2731"/>
      <c r="H1698" s="2731"/>
      <c r="I1698" s="2731"/>
      <c r="J1698" s="2731"/>
      <c r="K1698" s="2731"/>
      <c r="L1698" s="2731"/>
      <c r="M1698" s="2703"/>
      <c r="N1698" s="2703" t="s">
        <v>2452</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3861</v>
      </c>
      <c r="D1699" s="1156"/>
      <c r="E1699" s="478"/>
      <c r="F1699" s="478"/>
      <c r="G1699" s="1156" t="s">
        <v>4181</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78.75">
      <c r="A1700" s="2701"/>
      <c r="B1700" s="2703"/>
      <c r="C1700" s="2662" t="str">
        <f>'Part IX A-Scoring Criteria'!C146</f>
        <v>Determining Proper Nutritional Needs for Your Family</v>
      </c>
      <c r="D1700" s="2662">
        <f>'Part IX A-Scoring Criteria'!D146</f>
        <v>0</v>
      </c>
      <c r="E1700" s="2662">
        <f>'Part IX A-Scoring Criteria'!E146</f>
        <v>0</v>
      </c>
      <c r="F1700" s="2662">
        <f>'Part IX A-Scoring Criteria'!F146</f>
        <v>0</v>
      </c>
      <c r="G1700" s="2662" t="str">
        <f>'Part IX A-Scoring Criteria'!G146</f>
        <v>Monthly seminar discussion provided by Homecare Medicine of Atlanta</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ht="78.75">
      <c r="A1701" s="2701"/>
      <c r="B1701" s="2713"/>
      <c r="C1701" s="2662" t="str">
        <f>'Part IX A-Scoring Criteria'!C147</f>
        <v>How to Source Affordable Healthy Food Options</v>
      </c>
      <c r="D1701" s="2662">
        <f>'Part IX A-Scoring Criteria'!D147</f>
        <v>0</v>
      </c>
      <c r="E1701" s="2662">
        <f>'Part IX A-Scoring Criteria'!E147</f>
        <v>0</v>
      </c>
      <c r="F1701" s="2662">
        <f>'Part IX A-Scoring Criteria'!F147</f>
        <v>0</v>
      </c>
      <c r="G1701" s="2662" t="str">
        <f>'Part IX A-Scoring Criteria'!G147</f>
        <v>Monthly seminar discussion provided by Homecare Medicine of Atlanta</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4216</v>
      </c>
      <c r="B1702" s="2518"/>
      <c r="C1702" s="2662" t="str">
        <f>'Part IX A-Scoring Criteria'!C148</f>
        <v>Proper Food Storage, Cooking, and Food Cleaning</v>
      </c>
      <c r="D1702" s="2662">
        <f>'Part IX A-Scoring Criteria'!D148</f>
        <v>0</v>
      </c>
      <c r="E1702" s="2662">
        <f>'Part IX A-Scoring Criteria'!E148</f>
        <v>0</v>
      </c>
      <c r="F1702" s="2662">
        <f>'Part IX A-Scoring Criteria'!F148</f>
        <v>0</v>
      </c>
      <c r="G1702" s="2662" t="str">
        <f>'Part IX A-Scoring Criteria'!G148</f>
        <v>Monthly seminar discussion provided by Homecare Medicine of Atlanta</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ht="90">
      <c r="A1703" s="2518"/>
      <c r="B1703" s="2518"/>
      <c r="C1703" s="2662" t="str">
        <f>'Part IX A-Scoring Criteria'!C149</f>
        <v>Community Garden Cultivation Encouragement</v>
      </c>
      <c r="D1703" s="2662">
        <f>'Part IX A-Scoring Criteria'!D149</f>
        <v>0</v>
      </c>
      <c r="E1703" s="2662">
        <f>'Part IX A-Scoring Criteria'!E149</f>
        <v>0</v>
      </c>
      <c r="F1703" s="2662">
        <f>'Part IX A-Scoring Criteria'!F149</f>
        <v>0</v>
      </c>
      <c r="G1703" s="2662" t="str">
        <f>'Part IX A-Scoring Criteria'!G149</f>
        <v>Health Services Coordinator referrals to agricultural extension office for growing tips.</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4003</v>
      </c>
      <c r="C1707" s="2665"/>
      <c r="D1707" s="2665"/>
      <c r="E1707" s="2665"/>
      <c r="F1707" s="2665"/>
      <c r="G1707" s="2665"/>
      <c r="H1707" s="2665"/>
      <c r="I1707" s="2665"/>
      <c r="J1707" s="2665"/>
      <c r="K1707" s="2665"/>
      <c r="L1707" s="2665"/>
      <c r="M1707" s="2563">
        <v>5</v>
      </c>
      <c r="N1707" s="2783"/>
      <c r="O1707" s="2747">
        <f>'Part IX A-Scoring Criteria'!O153</f>
        <v>5</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4043</v>
      </c>
      <c r="C1709" s="2766"/>
      <c r="D1709" s="2813"/>
      <c r="E1709" s="2813"/>
      <c r="F1709" s="2766"/>
      <c r="G1709" s="2813"/>
      <c r="H1709" s="2813"/>
      <c r="I1709" s="2813"/>
      <c r="J1709" s="2813"/>
      <c r="K1709" s="2813"/>
      <c r="L1709" s="2813"/>
      <c r="M1709" s="2554">
        <v>3</v>
      </c>
      <c r="N1709" s="2785"/>
      <c r="O1709" s="2554">
        <f>'Part IX A-Scoring Criteria'!O155</f>
        <v>3</v>
      </c>
      <c r="P1709" s="2554">
        <f>'Part IX A-Scoring Criteria'!P155</f>
        <v>0</v>
      </c>
      <c r="Q1709" s="2766"/>
      <c r="R1709" s="2357"/>
      <c r="S1709" s="2766"/>
      <c r="T1709" s="2766"/>
      <c r="U1709" s="2766"/>
      <c r="V1709" s="2766"/>
      <c r="W1709" s="2766"/>
      <c r="X1709" s="2766"/>
      <c r="Y1709" s="2766"/>
      <c r="Z1709" s="2766"/>
    </row>
    <row r="1710" spans="1:26" ht="15">
      <c r="A1710" s="2748"/>
      <c r="B1710" s="2598" t="s">
        <v>3855</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4833</v>
      </c>
      <c r="C1712" s="2662"/>
      <c r="D1712" s="2662"/>
      <c r="E1712" s="478" t="s">
        <v>3852</v>
      </c>
      <c r="F1712" s="2766"/>
      <c r="G1712" s="478"/>
      <c r="H1712" s="2766"/>
      <c r="I1712" s="2627" t="str">
        <f>'Part IX A-Scoring Criteria'!I158</f>
        <v>Atlanta Public Schools</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3854</v>
      </c>
      <c r="F1713" s="2711"/>
      <c r="G1713" s="2766"/>
      <c r="H1713" s="2766"/>
      <c r="I1713" s="2598"/>
      <c r="J1713" s="2592"/>
      <c r="K1713" s="2592"/>
      <c r="L1713" s="2592"/>
      <c r="M1713" s="2766"/>
      <c r="N1713" s="2627"/>
      <c r="O1713" s="2668">
        <f>'Part IX A-Scoring Criteria'!O159</f>
        <v>0</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2924</v>
      </c>
      <c r="F1714" s="478" t="str">
        <f>'Part I-Project Information'!$H$78</f>
        <v>Family</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3850</v>
      </c>
      <c r="I1715" s="2627" t="s">
        <v>3895</v>
      </c>
      <c r="J1715" s="2627"/>
      <c r="K1715" s="2627"/>
      <c r="L1715" s="2627"/>
      <c r="M1715" s="2435" t="s">
        <v>3849</v>
      </c>
      <c r="N1715" s="2435"/>
      <c r="O1715" s="2435" t="s">
        <v>3853</v>
      </c>
      <c r="P1715" s="2435"/>
      <c r="Q1715" s="2627"/>
      <c r="R1715" s="2748"/>
      <c r="S1715" s="2748"/>
      <c r="T1715" s="2748"/>
      <c r="U1715" s="2748"/>
      <c r="V1715" s="2748"/>
      <c r="W1715" s="2748"/>
      <c r="X1715" s="2748"/>
      <c r="Y1715" s="2748"/>
      <c r="Z1715" s="2748"/>
    </row>
    <row r="1716" spans="1:26" ht="23.25">
      <c r="A1716" s="2581"/>
      <c r="B1716" s="2826" t="s">
        <v>3847</v>
      </c>
      <c r="C1716" s="2592"/>
      <c r="D1716" s="2357" t="s">
        <v>4834</v>
      </c>
      <c r="E1716" s="2357"/>
      <c r="F1716" s="2357"/>
      <c r="G1716" s="2686" t="s">
        <v>3420</v>
      </c>
      <c r="H1716" s="2670"/>
      <c r="I1716" s="2712">
        <v>2014</v>
      </c>
      <c r="J1716" s="2712">
        <v>2015</v>
      </c>
      <c r="K1716" s="2712">
        <v>2016</v>
      </c>
      <c r="L1716" s="2712">
        <v>2017</v>
      </c>
      <c r="M1716" s="2435"/>
      <c r="N1716" s="2435"/>
      <c r="O1716" s="2435"/>
      <c r="P1716" s="2435"/>
      <c r="Q1716" s="2827" t="s">
        <v>3848</v>
      </c>
      <c r="R1716" s="2827"/>
      <c r="S1716" s="2748"/>
      <c r="T1716" s="2748"/>
      <c r="U1716" s="2748"/>
      <c r="V1716" s="2748"/>
      <c r="W1716" s="2748"/>
      <c r="X1716" s="2748"/>
      <c r="Y1716" s="2748"/>
      <c r="Z1716" s="2748"/>
    </row>
    <row r="1717" spans="1:26" ht="33.75">
      <c r="A1717" s="2703" t="s">
        <v>2451</v>
      </c>
      <c r="B1717" s="2634" t="s">
        <v>4042</v>
      </c>
      <c r="C1717" s="2748"/>
      <c r="D1717" s="2627" t="str">
        <f>'Part IX A-Scoring Criteria'!D163</f>
        <v>Garden Hills Elementary School</v>
      </c>
      <c r="E1717" s="2627">
        <f>'Part IX A-Scoring Criteria'!E163</f>
        <v>0</v>
      </c>
      <c r="F1717" s="2627">
        <f>'Part IX A-Scoring Criteria'!F163</f>
        <v>0</v>
      </c>
      <c r="G1717" s="2828" t="str">
        <f>'Part IX A-Scoring Criteria'!G163</f>
        <v>PK-05</v>
      </c>
      <c r="H1717" s="2694" t="str">
        <f>'Part IX A-Scoring Criteria'!H163</f>
        <v>No</v>
      </c>
      <c r="I1717" s="2829">
        <f>'Part IX A-Scoring Criteria'!I163</f>
        <v>0</v>
      </c>
      <c r="J1717" s="2829">
        <f>'Part IX A-Scoring Criteria'!J163</f>
        <v>78.599999999999994</v>
      </c>
      <c r="K1717" s="2829">
        <f>'Part IX A-Scoring Criteria'!K163</f>
        <v>82</v>
      </c>
      <c r="L1717" s="2829">
        <f>'Part IX A-Scoring Criteria'!L163</f>
        <v>75.2</v>
      </c>
      <c r="M1717" s="2830">
        <f>IF(I1717+J1717+K1717+L1717=0,"",AVERAGE(I1717,J1717,K1717,L1717))</f>
        <v>58.95</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22.5">
      <c r="A1718" s="2713" t="s">
        <v>2452</v>
      </c>
      <c r="B1718" s="2634" t="s">
        <v>4217</v>
      </c>
      <c r="C1718" s="2748"/>
      <c r="D1718" s="2627" t="str">
        <f>'Part IX A-Scoring Criteria'!D164</f>
        <v>Sutton Middle School</v>
      </c>
      <c r="E1718" s="2627">
        <f>'Part IX A-Scoring Criteria'!E164</f>
        <v>0</v>
      </c>
      <c r="F1718" s="2627">
        <f>'Part IX A-Scoring Criteria'!F164</f>
        <v>0</v>
      </c>
      <c r="G1718" s="2828" t="str">
        <f>'Part IX A-Scoring Criteria'!G164</f>
        <v>06-08</v>
      </c>
      <c r="H1718" s="2694" t="str">
        <f>'Part IX A-Scoring Criteria'!H164</f>
        <v>No</v>
      </c>
      <c r="I1718" s="2829">
        <f>'Part IX A-Scoring Criteria'!I164</f>
        <v>0</v>
      </c>
      <c r="J1718" s="2829">
        <f>'Part IX A-Scoring Criteria'!J164</f>
        <v>79.099999999999994</v>
      </c>
      <c r="K1718" s="2829">
        <f>'Part IX A-Scoring Criteria'!K164</f>
        <v>74.2</v>
      </c>
      <c r="L1718" s="2829">
        <f>'Part IX A-Scoring Criteria'!L164</f>
        <v>76.599999999999994</v>
      </c>
      <c r="M1718" s="2830">
        <f>IF(I1718+J1718+K1718+L1718=0,"",AVERAGE(I1718,J1718,K1718,L1718))</f>
        <v>57.475000000000001</v>
      </c>
      <c r="N1718" s="2830"/>
      <c r="O1718" s="2557" t="str">
        <f>IF(M1718="","",IF(M1718&gt;Q1718,"Yes",IF(M1718&lt;Q1718,"No","")))</f>
        <v>No</v>
      </c>
      <c r="P1718" s="2748"/>
      <c r="Q1718" s="2368">
        <v>72.099999999999994</v>
      </c>
      <c r="R1718" s="2368"/>
      <c r="S1718" s="2748"/>
      <c r="T1718" s="2748"/>
      <c r="U1718" s="2748"/>
      <c r="V1718" s="2748"/>
      <c r="W1718" s="2748"/>
      <c r="X1718" s="2748"/>
      <c r="Y1718" s="2748"/>
      <c r="Z1718" s="2748"/>
    </row>
    <row r="1719" spans="1:26" ht="22.5">
      <c r="A1719" s="2703" t="s">
        <v>2453</v>
      </c>
      <c r="B1719" s="2634" t="s">
        <v>4040</v>
      </c>
      <c r="C1719" s="2748"/>
      <c r="D1719" s="2627" t="str">
        <f>'Part IX A-Scoring Criteria'!D165</f>
        <v>North Atlanta High School</v>
      </c>
      <c r="E1719" s="2627">
        <f>'Part IX A-Scoring Criteria'!E165</f>
        <v>0</v>
      </c>
      <c r="F1719" s="2627">
        <f>'Part IX A-Scoring Criteria'!F165</f>
        <v>0</v>
      </c>
      <c r="G1719" s="2828" t="str">
        <f>'Part IX A-Scoring Criteria'!G165</f>
        <v>09-12</v>
      </c>
      <c r="H1719" s="2694" t="str">
        <f>'Part IX A-Scoring Criteria'!H165</f>
        <v>No</v>
      </c>
      <c r="I1719" s="2829">
        <f>'Part IX A-Scoring Criteria'!I165</f>
        <v>0</v>
      </c>
      <c r="J1719" s="2829">
        <f>'Part IX A-Scoring Criteria'!J165</f>
        <v>76.400000000000006</v>
      </c>
      <c r="K1719" s="2829">
        <f>'Part IX A-Scoring Criteria'!K165</f>
        <v>78.900000000000006</v>
      </c>
      <c r="L1719" s="2829">
        <f>'Part IX A-Scoring Criteria'!L165</f>
        <v>81.7</v>
      </c>
      <c r="M1719" s="2830">
        <f>IF(I1719+J1719+K1719+L1719=0,"",AVERAGE(I1719,J1719,K1719,L1719))</f>
        <v>59.25</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4042</v>
      </c>
      <c r="C1721" s="2748"/>
      <c r="D1721" s="2736" t="str">
        <f>IF(D1717="","",D1717)</f>
        <v>Garden Hills Elementary School</v>
      </c>
      <c r="E1721" s="2748"/>
      <c r="F1721" s="2748"/>
      <c r="G1721" s="2712" t="str">
        <f t="shared" ref="G1721:H1723" si="325">IF(G1717="","",G1717)</f>
        <v>PK-05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4041</v>
      </c>
      <c r="C1722" s="2748"/>
      <c r="D1722" s="2736" t="str">
        <f>IF(D1718="","",D1718)</f>
        <v>Sutton Middle School</v>
      </c>
      <c r="E1722" s="2748"/>
      <c r="F1722" s="2748"/>
      <c r="G1722" s="2712" t="str">
        <f t="shared" si="325"/>
        <v>06-08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4040</v>
      </c>
      <c r="C1723" s="2748"/>
      <c r="D1723" s="2736" t="str">
        <f>IF(D1719="","",D1719)</f>
        <v>North Atlanta High School</v>
      </c>
      <c r="E1723" s="2748"/>
      <c r="F1723" s="2748"/>
      <c r="G1723" s="2712" t="str">
        <f t="shared" si="325"/>
        <v>09-12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4044</v>
      </c>
      <c r="C1725" s="2766"/>
      <c r="D1725" s="2813"/>
      <c r="E1725" s="2813"/>
      <c r="F1725" s="2797" t="s">
        <v>3413</v>
      </c>
      <c r="G1725" s="2766"/>
      <c r="H1725" s="2598" t="s">
        <v>3896</v>
      </c>
      <c r="I1725" s="2766"/>
      <c r="J1725" s="2766"/>
      <c r="K1725" s="2766"/>
      <c r="L1725" s="2766"/>
      <c r="M1725" s="2554">
        <v>2</v>
      </c>
      <c r="N1725" s="2785"/>
      <c r="O1725" s="2747" t="str">
        <f>'Part IX A-Scoring Criteria'!O171</f>
        <v>2.</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4220</v>
      </c>
      <c r="F1726" s="2832" t="s">
        <v>3686</v>
      </c>
      <c r="G1726" s="2558" t="s">
        <v>3421</v>
      </c>
      <c r="H1726" s="2558"/>
      <c r="I1726" s="2558"/>
      <c r="J1726" s="2558"/>
      <c r="K1726" s="2558"/>
      <c r="L1726" s="2558"/>
      <c r="M1726" s="2558"/>
      <c r="N1726" s="2558"/>
      <c r="O1726" s="1156"/>
      <c r="P1726" s="2737"/>
      <c r="Q1726" s="1156"/>
      <c r="R1726" s="1156" t="s">
        <v>2851</v>
      </c>
      <c r="S1726" s="1156"/>
      <c r="T1726" s="2725" t="str">
        <f>'Part I-Project Information'!$F$38</f>
        <v>Atlanta</v>
      </c>
      <c r="U1726" s="2725"/>
      <c r="V1726" s="2725"/>
      <c r="W1726" s="2725"/>
      <c r="X1726" s="2725"/>
      <c r="Y1726" s="1156"/>
      <c r="Z1726" s="1156"/>
    </row>
    <row r="1727" spans="1:26" ht="12.75" customHeight="1">
      <c r="A1727" s="2701"/>
      <c r="B1727" s="2832" t="s">
        <v>4047</v>
      </c>
      <c r="C1727" s="2832"/>
      <c r="D1727" s="2832"/>
      <c r="E1727" s="2832"/>
      <c r="F1727" s="2832"/>
      <c r="G1727" s="2662" t="s">
        <v>4046</v>
      </c>
      <c r="H1727" s="2662"/>
      <c r="I1727" s="2662"/>
      <c r="J1727" s="2662"/>
      <c r="K1727" s="2662"/>
      <c r="L1727" s="2662"/>
      <c r="M1727" s="2662"/>
      <c r="N1727" s="2662"/>
      <c r="O1727" s="2832" t="s">
        <v>3687</v>
      </c>
      <c r="P1727" s="2832"/>
      <c r="Q1727" s="1156"/>
      <c r="R1727" s="2725" t="s">
        <v>2852</v>
      </c>
      <c r="S1727" s="1156"/>
      <c r="T1727" s="2725" t="str">
        <f>'Part I-Project Information'!$J$39</f>
        <v>Fulton</v>
      </c>
      <c r="U1727" s="2725"/>
      <c r="V1727" s="2725"/>
      <c r="W1727" s="2725"/>
      <c r="X1727" s="2725"/>
      <c r="Y1727" s="1156"/>
      <c r="Z1727" s="1156"/>
    </row>
    <row r="1728" spans="1:26">
      <c r="A1728" s="2701"/>
      <c r="B1728" s="478" t="s">
        <v>3856</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2853</v>
      </c>
      <c r="S1728" s="1156"/>
      <c r="T1728" s="2725" t="str">
        <f>'Part I-Project Information'!$O$40</f>
        <v>Atlanta-Sandy Springs-Marietta</v>
      </c>
      <c r="U1728" s="2725"/>
      <c r="V1728" s="2725"/>
      <c r="W1728" s="2725"/>
      <c r="X1728" s="2725"/>
      <c r="Y1728" s="1156"/>
      <c r="Z1728" s="1156"/>
    </row>
    <row r="1729" spans="1:26" ht="12.75" customHeight="1">
      <c r="A1729" s="2701"/>
      <c r="B1729" s="2627" t="s">
        <v>4045</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3889</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3890</v>
      </c>
      <c r="C1731" s="1156"/>
      <c r="D1731" s="1156"/>
      <c r="E1731" s="2836"/>
      <c r="F1731" s="2836"/>
      <c r="G1731" s="2836"/>
      <c r="H1731" s="1156"/>
      <c r="I1731" s="2836">
        <f>'Part IX A-Scoring Criteria'!I177</f>
        <v>20000</v>
      </c>
      <c r="J1731" s="2836">
        <f>'Part IX A-Scoring Criteria'!J177</f>
        <v>0</v>
      </c>
      <c r="K1731" s="1156"/>
      <c r="L1731" s="1156"/>
      <c r="M1731" s="1156"/>
      <c r="N1731" s="1156"/>
      <c r="O1731" s="1156"/>
      <c r="P1731" s="1156"/>
      <c r="Q1731" s="1156"/>
      <c r="R1731" s="1156" t="s">
        <v>3652</v>
      </c>
      <c r="S1731" s="1156"/>
      <c r="T1731" s="2725" t="str">
        <f>'Part I-Project Information'!$K$40</f>
        <v>Urban</v>
      </c>
      <c r="U1731" s="2725"/>
      <c r="V1731" s="2725"/>
      <c r="W1731" s="2725"/>
      <c r="X1731" s="2725"/>
      <c r="Y1731" s="1156"/>
      <c r="Z1731" s="1156"/>
    </row>
    <row r="1732" spans="1:26" ht="13.5">
      <c r="A1732" s="2726"/>
      <c r="B1732" s="2736" t="s">
        <v>3651</v>
      </c>
      <c r="C1732" s="1156"/>
      <c r="D1732" s="1156"/>
      <c r="E1732" s="1156"/>
      <c r="F1732" s="1156"/>
      <c r="G1732" s="1156"/>
      <c r="H1732" s="2837" t="str">
        <f>IF(I1732&lt;I1731,"Threshold not met!","")</f>
        <v/>
      </c>
      <c r="I1732" s="2836">
        <f>'Part IX A-Scoring Criteria'!I178</f>
        <v>42947</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4219</v>
      </c>
      <c r="D1734" s="2725"/>
      <c r="E1734" s="2725"/>
      <c r="F1734" s="2725"/>
      <c r="G1734" s="2725"/>
      <c r="H1734" s="2838" t="s">
        <v>2002</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4048</v>
      </c>
      <c r="D1735" s="2825"/>
      <c r="E1735" s="2825"/>
      <c r="F1735" s="2825"/>
      <c r="G1735" s="1156"/>
      <c r="H1735" s="2838" t="s">
        <v>2004</v>
      </c>
      <c r="I1735" s="2839" t="str">
        <f>'Part IX A-Scoring Criteria'!I181</f>
        <v>Yes</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3914</v>
      </c>
      <c r="D1736" s="2825"/>
      <c r="E1736" s="2825"/>
      <c r="F1736" s="2825"/>
      <c r="G1736" s="2814"/>
      <c r="H1736" s="1156"/>
      <c r="I1736" s="2718">
        <f>'Part IX A-Scoring Criteria'!I182</f>
        <v>1.1473499999999999</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3780</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409.5">
      <c r="A1739" s="2662" t="str">
        <f>'Part IX A-Scoring Criteria'!A185</f>
        <v>Abbington on Cheshire Bridge is within the attendance zones for Garden Hills Elementary School, Sutton Middle School, and North Atlanta High School within the Atlanta Public Schools system.  Each of these schools exceeded the minimum scoring CCRPI value when scores are averaged from 2015-2017.  Therefore, the development qualifies for the full 3 points under Quality Education Areas.  The site also qualifies for 2 points under Workforce Housing Need as 42,947 jobs were identified by "On the Map" within a 2-mile radius of the site.  The address used in On the Map was 2070 Cheshire Bridge Road NE, Atlanta, GA 30324, the closest existing physical address.  The minimum scoring threshold for the Atlanta Metro MSA was 15,000 jobs (1 point) or 20,000 (2 points) for exceeding the target threshold by 50%.  This site location is well above the 50% increase threshold and eligible for the full jobs points.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4054</v>
      </c>
      <c r="C1743" s="2766"/>
      <c r="D1743" s="2767"/>
      <c r="E1743" s="2767"/>
      <c r="F1743" s="2766"/>
      <c r="G1743" s="2766"/>
      <c r="H1743" s="2599" t="s">
        <v>4055</v>
      </c>
      <c r="I1743" s="2840"/>
      <c r="J1743" s="2840"/>
      <c r="K1743" s="2660"/>
      <c r="L1743" s="2660"/>
      <c r="M1743" s="2563">
        <v>7</v>
      </c>
      <c r="N1743" s="2554"/>
      <c r="O1743" s="2747">
        <f>'Part IX A-Scoring Criteria'!O189</f>
        <v>7</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4835</v>
      </c>
      <c r="C1745" s="2570"/>
      <c r="D1745" s="2570"/>
      <c r="E1745" s="2357" t="s">
        <v>4230</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4183</v>
      </c>
      <c r="D1747" s="2662"/>
      <c r="E1747" s="2662"/>
      <c r="F1747" s="2662"/>
      <c r="G1747" s="2662"/>
      <c r="H1747" s="2662"/>
      <c r="I1747" s="2662"/>
      <c r="J1747" s="2713" t="s">
        <v>2451</v>
      </c>
      <c r="K1747" s="2668" t="str">
        <f>'Part IX A-Scoring Criteria'!K193</f>
        <v>Yes</v>
      </c>
      <c r="L1747" s="2668">
        <f>'Part IX A-Scoring Criteria'!L193</f>
        <v>0</v>
      </c>
      <c r="M1747" s="2842" t="str">
        <f>'Part IX A-Scoring Criteria'!M193</f>
        <v>Chapter 1: p 1-2. Appendix Maps 1, 2, 3</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4836</v>
      </c>
      <c r="D1749" s="2662"/>
      <c r="E1749" s="2662"/>
      <c r="F1749" s="2662"/>
      <c r="G1749" s="2662"/>
      <c r="H1749" s="2748"/>
      <c r="I1749" s="2748"/>
      <c r="J1749" s="2703" t="s">
        <v>2452</v>
      </c>
      <c r="K1749" s="2668" t="str">
        <f>'Part IX A-Scoring Criteria'!K195</f>
        <v>Yes</v>
      </c>
      <c r="L1749" s="2668">
        <f>'Part IX A-Scoring Criteria'!L195</f>
        <v>0</v>
      </c>
      <c r="M1749" s="2842" t="str">
        <f>'Part IX A-Scoring Criteria'!M195</f>
        <v xml:space="preserve">Section 1 page 3, Appenix pages 12-18. </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2844</v>
      </c>
      <c r="D1750" s="2687"/>
      <c r="E1750" s="2687"/>
      <c r="F1750" s="2687"/>
      <c r="G1750" s="2687"/>
      <c r="H1750" s="2687"/>
      <c r="I1750" s="2679"/>
      <c r="J1750" s="2713" t="s">
        <v>2453</v>
      </c>
      <c r="K1750" s="2668" t="str">
        <f>'Part IX A-Scoring Criteria'!K196</f>
        <v>Yes</v>
      </c>
      <c r="L1750" s="2668">
        <f>'Part IX A-Scoring Criteria'!L196</f>
        <v>0</v>
      </c>
      <c r="M1750" s="2842" t="str">
        <f>'Part IX A-Scoring Criteria'!M196</f>
        <v>Chapter 3 p 10-11, Chapter 7 page 29</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4059</v>
      </c>
      <c r="D1751" s="2687"/>
      <c r="E1751" s="2687"/>
      <c r="F1751" s="2687"/>
      <c r="G1751" s="2687"/>
      <c r="H1751" s="2687"/>
      <c r="I1751" s="2679"/>
      <c r="J1751" s="2713" t="s">
        <v>2454</v>
      </c>
      <c r="K1751" s="2668" t="str">
        <f>'Part IX A-Scoring Criteria'!K197</f>
        <v>Yes</v>
      </c>
      <c r="L1751" s="2668">
        <f>'Part IX A-Scoring Criteria'!L197</f>
        <v>0</v>
      </c>
      <c r="M1751" s="2842" t="str">
        <f>'Part IX A-Scoring Criteria'!M197</f>
        <v>Chapter 8- all pages</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4227</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4049</v>
      </c>
      <c r="D1753" s="2687"/>
      <c r="E1753" s="2687"/>
      <c r="F1753" s="2687"/>
      <c r="G1753" s="2687"/>
      <c r="H1753" s="2687"/>
      <c r="I1753" s="2679"/>
      <c r="J1753" s="2713" t="s">
        <v>2455</v>
      </c>
      <c r="K1753" s="2668" t="str">
        <f>'Part IX A-Scoring Criteria'!K199</f>
        <v>Yes</v>
      </c>
      <c r="L1753" s="2668">
        <f>'Part IX A-Scoring Criteria'!L199</f>
        <v>0</v>
      </c>
      <c r="M1753" s="2842" t="str">
        <f>'Part IX A-Scoring Criteria'!M199</f>
        <v>Chapter 2, Chapter 4, Chapter 5 (all), Appendix- Field work analysis- pp 33-48</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2845</v>
      </c>
      <c r="D1754" s="2687"/>
      <c r="E1754" s="2687"/>
      <c r="F1754" s="2687"/>
      <c r="G1754" s="2687"/>
      <c r="H1754" s="2679"/>
      <c r="I1754" s="2679"/>
      <c r="J1754" s="2713" t="s">
        <v>2471</v>
      </c>
      <c r="K1754" s="2668" t="str">
        <f>'Part IX A-Scoring Criteria'!K200</f>
        <v>Yes</v>
      </c>
      <c r="L1754" s="2668">
        <f>'Part IX A-Scoring Criteria'!L200</f>
        <v>0</v>
      </c>
      <c r="M1754" s="2842" t="str">
        <f>'Part IX A-Scoring Criteria'!M200</f>
        <v>Chapter 7 p 3, 6, 16, 29</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4050</v>
      </c>
      <c r="D1755" s="2687"/>
      <c r="E1755" s="2687"/>
      <c r="F1755" s="2687"/>
      <c r="G1755" s="2679"/>
      <c r="H1755" s="2679"/>
      <c r="I1755" s="2679"/>
      <c r="J1755" s="2713" t="s">
        <v>2472</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4051</v>
      </c>
      <c r="E1756" s="2687"/>
      <c r="F1756" s="2844">
        <f>'Part IX A-Scoring Criteria'!F202</f>
        <v>36433</v>
      </c>
      <c r="G1756" s="2844">
        <f>'Part IX A-Scoring Criteria'!G202</f>
        <v>0</v>
      </c>
      <c r="H1756" s="2679"/>
      <c r="I1756" s="2687" t="s">
        <v>4052</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4837</v>
      </c>
      <c r="D1757" s="2687"/>
      <c r="E1757" s="2687"/>
      <c r="F1757" s="2687"/>
      <c r="G1757" s="2679"/>
      <c r="H1757" s="2679"/>
      <c r="I1757" s="2679"/>
      <c r="J1757" s="2713" t="s">
        <v>2473</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ht="60">
      <c r="B1759" s="2695" t="s">
        <v>4184</v>
      </c>
      <c r="E1759" s="2355"/>
      <c r="G1759" s="2810" t="str">
        <f>'Part IX A-Scoring Criteria'!G205</f>
        <v>https://www.atlantaga.gov/home/showdocument?id=3046</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4053</v>
      </c>
      <c r="M1761" s="2554">
        <v>5</v>
      </c>
      <c r="N1761" s="2701" t="s">
        <v>1999</v>
      </c>
      <c r="O1761" s="2845">
        <f>'Part IX A-Scoring Criteria'!O207</f>
        <v>5</v>
      </c>
      <c r="P1761" s="2845">
        <f>'Part IX A-Scoring Criteria'!P207</f>
        <v>0</v>
      </c>
      <c r="Q1761" s="2407"/>
      <c r="X1761" s="2552"/>
      <c r="Y1761" s="2703"/>
    </row>
    <row r="1762" spans="1:26" ht="12.75" customHeight="1">
      <c r="A1762" s="2701"/>
      <c r="B1762" s="2824" t="s">
        <v>2002</v>
      </c>
      <c r="C1762" s="2662" t="s">
        <v>4838</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3</v>
      </c>
      <c r="P1762" s="2786">
        <f>'Part IX A-Scoring Criteria'!P208</f>
        <v>0</v>
      </c>
      <c r="Q1762" s="2787" t="str">
        <f>IF(OR($O1762=$M1762,$O1762=0,$O1762=""),"","*CHECK!*")</f>
        <v/>
      </c>
      <c r="R1762" s="2352" t="s">
        <v>2725</v>
      </c>
    </row>
    <row r="1763" spans="1:26" ht="12.75" customHeight="1">
      <c r="A1763" s="2701"/>
      <c r="B1763" s="2824" t="s">
        <v>2004</v>
      </c>
      <c r="C1763" s="2737" t="s">
        <v>4839</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2</v>
      </c>
      <c r="P1763" s="2786">
        <f>'Part IX A-Scoring Criteria'!P209</f>
        <v>0</v>
      </c>
      <c r="Q1763" s="2787" t="str">
        <f>IF(OR($O1763=$M1763,$O1763=0,$O1763=""),"","*CHECK!*")</f>
        <v/>
      </c>
      <c r="R1763" s="2352" t="s">
        <v>2725</v>
      </c>
    </row>
    <row r="1764" spans="1:26">
      <c r="A1764" s="2701"/>
      <c r="B1764" s="2736"/>
      <c r="C1764" s="2736" t="s">
        <v>3805</v>
      </c>
      <c r="E1764" s="2736" t="str">
        <f>'Part I-Project Information'!$N$39</f>
        <v>Yes</v>
      </c>
      <c r="G1764" s="2736" t="s">
        <v>3600</v>
      </c>
      <c r="I1764" s="2846" t="str">
        <f>'Part I-Project Information'!$O$38</f>
        <v>13121009200</v>
      </c>
      <c r="J1764" s="2846"/>
      <c r="K1764" s="2598" t="s">
        <v>3397</v>
      </c>
      <c r="M1764" s="2598" t="str">
        <f>'Part IV-A-Uses of Funds'!$H$152</f>
        <v>DDA/QCT</v>
      </c>
    </row>
    <row r="1765" spans="1:26">
      <c r="A1765" s="2701"/>
      <c r="B1765" s="2736"/>
      <c r="D1765" s="2712"/>
      <c r="E1765" s="2736"/>
      <c r="G1765" s="2598"/>
      <c r="K1765" s="2598"/>
      <c r="L1765" s="2598"/>
    </row>
    <row r="1766" spans="1:26">
      <c r="A1766" s="2581" t="s">
        <v>2001</v>
      </c>
      <c r="B1766" s="2570" t="s">
        <v>4056</v>
      </c>
      <c r="D1766" s="2355"/>
      <c r="K1766" s="2586"/>
      <c r="L1766" s="2711" t="str">
        <f>IF(OR($O1766=$M1766,$O1766=0,$O1766=""),"","* * Check Score! * *")</f>
        <v/>
      </c>
      <c r="M1766" s="2554">
        <v>2</v>
      </c>
      <c r="N1766" s="2701" t="s">
        <v>2001</v>
      </c>
      <c r="O1766" s="2747">
        <f>'Part IX A-Scoring Criteria'!O212</f>
        <v>2</v>
      </c>
      <c r="P1766" s="2747">
        <f>'Part IX A-Scoring Criteria'!P212</f>
        <v>0</v>
      </c>
      <c r="Q1766" s="2787" t="str">
        <f>IF(OR($O1766=$M1766,$O1766=0,$O1766=""),"","*CHECK!*")</f>
        <v/>
      </c>
      <c r="R1766" s="2352" t="s">
        <v>2725</v>
      </c>
    </row>
    <row r="1767" spans="1:26" ht="18.75">
      <c r="A1767" s="2581"/>
      <c r="B1767" s="478" t="s">
        <v>2813</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22.5">
      <c r="A1768" s="2710"/>
      <c r="B1768" s="478" t="s">
        <v>3886</v>
      </c>
      <c r="C1768" s="2748"/>
      <c r="D1768" s="2748"/>
      <c r="E1768" s="2748"/>
      <c r="F1768" s="2748"/>
      <c r="G1768" s="2748"/>
      <c r="H1768" s="2748"/>
      <c r="I1768" s="2748"/>
      <c r="J1768" s="2627" t="str">
        <f>'Part IX A-Scoring Criteria'!J214</f>
        <v>City of Atlanta and GDOT</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3887</v>
      </c>
      <c r="C1769" s="2748"/>
      <c r="D1769" s="2748"/>
      <c r="E1769" s="2748"/>
      <c r="F1769" s="2748"/>
      <c r="G1769" s="2748"/>
      <c r="H1769" s="2748"/>
      <c r="I1769" s="2837" t="str">
        <f>IF($J$215="Government", "Additional documentation required - see QAP.","")</f>
        <v/>
      </c>
      <c r="J1769" s="2725" t="str">
        <f>'Part IX A-Scoring Criteria'!J215</f>
        <v>Government</v>
      </c>
      <c r="K1769" s="2725">
        <f>'Part IX A-Scoring Criteria'!K215</f>
        <v>0</v>
      </c>
      <c r="L1769" s="2725">
        <f>'Part IX A-Scoring Criteria'!L215</f>
        <v>0</v>
      </c>
      <c r="M1769" s="2687" t="s">
        <v>3650</v>
      </c>
      <c r="N1769" s="2748"/>
      <c r="O1769" s="2748"/>
      <c r="P1769" s="2748"/>
      <c r="Q1769" s="2748"/>
      <c r="R1769" s="2748"/>
      <c r="S1769" s="2748"/>
      <c r="T1769" s="2748"/>
      <c r="U1769" s="2748"/>
      <c r="V1769" s="2815"/>
      <c r="W1769" s="2815"/>
      <c r="X1769" s="2748"/>
      <c r="Y1769" s="2748"/>
      <c r="Z1769" s="2748"/>
    </row>
    <row r="1770" spans="1:26" ht="18.75">
      <c r="A1770" s="2641"/>
      <c r="B1770" s="2736" t="s">
        <v>4244</v>
      </c>
      <c r="F1770" s="2679"/>
      <c r="G1770" s="2679"/>
      <c r="H1770" s="2679"/>
      <c r="L1770" s="2695" t="str">
        <f>'Part IX A-Scoring Criteria'!L216</f>
        <v>No</v>
      </c>
      <c r="M1770" s="2847" t="str">
        <f>'Part IX A-Scoring Criteria'!M216</f>
        <v>All in process.</v>
      </c>
      <c r="N1770" s="2847">
        <f>'Part IX A-Scoring Criteria'!N216</f>
        <v>0</v>
      </c>
      <c r="O1770" s="2847">
        <f>'Part IX A-Scoring Criteria'!O216</f>
        <v>0</v>
      </c>
      <c r="P1770" s="2847">
        <f>'Part IX A-Scoring Criteria'!P216</f>
        <v>0</v>
      </c>
      <c r="V1770" s="2815"/>
      <c r="W1770" s="2815"/>
    </row>
    <row r="1771" spans="1:26" ht="18.75">
      <c r="A1771" s="2641"/>
      <c r="B1771" s="2687" t="s">
        <v>3816</v>
      </c>
      <c r="G1771" s="2687"/>
      <c r="J1771" s="2848">
        <f>'Part IX A-Scoring Criteria'!J217</f>
        <v>0.3</v>
      </c>
      <c r="K1771" s="2849" t="s">
        <v>3815</v>
      </c>
      <c r="L1771" s="2679"/>
      <c r="N1771" s="2550"/>
      <c r="O1771" s="2552"/>
      <c r="P1771" s="2552"/>
      <c r="V1771" s="2815"/>
      <c r="W1771" s="2815"/>
    </row>
    <row r="1772" spans="1:26" ht="18.75" customHeight="1">
      <c r="A1772" s="2850" t="s">
        <v>4224</v>
      </c>
      <c r="B1772" s="2662" t="s">
        <v>4221</v>
      </c>
      <c r="C1772" s="2662"/>
      <c r="D1772" s="2433" t="str">
        <f>'Part IX A-Scoring Criteria'!D218</f>
        <v xml:space="preserve">City of Atlanta: General Government Capital Outlay Fund- (see legislation 17-O-1061 for purchase of Armand park parcel, total price $399, 853). City of Atlanta and Georgia DOT: Pedestrian Hybrid Beacon located at approximately 2170 Cheshire Bridge Road- GDOT LMIG OSS grant and DPW OOG General Budget (cost estimate: $120,000), City Public Works Improvement schedule 2017-2021 identifies major expansion and upgrade to Morningside Nautre Preserve funded through impact fee/city greenspace general funds. </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4222</v>
      </c>
      <c r="C1773" s="2662"/>
      <c r="D1773" s="2433" t="str">
        <f>'Part IX A-Scoring Criteria'!D219</f>
        <v xml:space="preserve">The Cheshire Bridge Road Corridor study specifically details expansion of public spaces and improved pedestrian activity. The Armand Park expansion along with the South Peachtree Creek trail development (current) will advance goals of both these goals. </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4223</v>
      </c>
      <c r="C1774" s="2518"/>
      <c r="D1774" s="2433" t="str">
        <f>'Part IX A-Scoring Criteria'!D220</f>
        <v xml:space="preserve">The park expansion on Armand Drive will provide additional park space for our residents use. In addition, the goal of the park expansion is to compliment and connect to the current and ongoing expansion of the South Peachtree Creek trail expansion which will be lcoated directly behind our site. Residents will be able to use the trial system for both recreation and commute to Lindbergh MARTA station as well as future trail expansion to Zonolite Dr connecting to Emory University. </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3477</v>
      </c>
      <c r="G1775" s="478" t="s">
        <v>2646</v>
      </c>
      <c r="H1775" s="478"/>
      <c r="J1775" s="2851">
        <f>'Part IX A-Scoring Criteria'!J221</f>
        <v>1769853</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4548</v>
      </c>
      <c r="D1776" s="2665"/>
      <c r="E1776" s="2748"/>
      <c r="F1776" s="2748"/>
      <c r="G1776" s="2852">
        <f>'Part IV-A-Uses of Funds'!$G$132</f>
        <v>11919387</v>
      </c>
      <c r="H1776" s="2852"/>
      <c r="I1776" s="2748"/>
      <c r="J1776" s="2853">
        <f>'Part IX A-Scoring Criteria'!J222</f>
        <v>0.14848523669883359</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3780</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09.5">
      <c r="A1778" s="2662" t="str">
        <f>'Part IX A-Scoring Criteria'!A224</f>
        <v xml:space="preserve">Abbington on Cheshire Bridge is located near the middle of the Cheshire Bridge Road “corridor” in an area seeing multiple redevelopments and improvements. 
Public off-site improvements within ½ mile of the site include: 
•	A pedestrian hybrid beacon (PHB) will be installed approximately 300 ft east of our site entrance at approximately 2170 Cheshire Bridge Road
o	Currently in design and bid with completion late 2018/2019
o	Cost estimated to be: $120,000
o	Source of Funding: GDOT LMIG OSS Grant, DPW OOT General Budget 
•	Armand Park and South Fork Peachtree Creek trail expansion on Armand Drive and along South Fork Peachtree Creek. 
o	Currently under design/construction with completion 2019. 
o	Cost of Armand Park land purchase: $399,853 (November 2017) and South Fork Peachtree creek trail expansion ($2,000,000). 
o	Source of Funding: General Government Capital Outlay Fund 
•	Greenspace expansion and habitat restoration at Morningside Nature Preserve 
o	Funded by City of Atlanta parks and recreation impact fees and identified for completion on the 2017-2021 Public Works Program
o	Cost: $1,000,000 (trailhead aquisition for new pedestrian connections)
o	Cost: $250,000 (continue nature preserve master plan development )
o	Source of Funding: City of Atlanta Department Public works budget 
•	Future MARTA expansion to include a light rail line known as the Clifton Corridor, with a station adjacent to the site. 
o	This is part of a large transit corridor development to be funded by the local sales tax referendum (2016). Currently the light rail is in the Project Development Phase (2017-2020). 
o	Abbington on Cheshire Bridge apartments would be placed into service during the Design and Construction Phase (2020-2024) with rail service to begin in 2025.  Cost estimated to be $504,000,000. </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4057</v>
      </c>
      <c r="C1782" s="2665"/>
      <c r="D1782" s="2665"/>
      <c r="E1782" s="2665"/>
      <c r="F1782" s="2665"/>
      <c r="G1782" s="2665"/>
      <c r="H1782" s="2665"/>
      <c r="I1782" s="2665"/>
      <c r="J1782" s="2665"/>
      <c r="K1782" s="2694" t="s">
        <v>3267</v>
      </c>
      <c r="L1782" s="2694" t="s">
        <v>258</v>
      </c>
      <c r="M1782" s="2563">
        <v>3</v>
      </c>
      <c r="N1782" s="2783"/>
      <c r="O1782" s="2754"/>
      <c r="P1782" s="2747">
        <f>'Part IX A-Scoring Criteria'!P228</f>
        <v>0</v>
      </c>
      <c r="Q1782" s="2563" t="s">
        <v>443</v>
      </c>
      <c r="R1782" s="2352" t="s">
        <v>2725</v>
      </c>
      <c r="S1782" s="2748"/>
      <c r="T1782" s="2748"/>
      <c r="U1782" s="2748"/>
      <c r="V1782" s="2748"/>
      <c r="W1782" s="2748"/>
      <c r="X1782" s="2748"/>
      <c r="Y1782" s="2748"/>
      <c r="Z1782" s="2748"/>
    </row>
    <row r="1783" spans="1:26" ht="15">
      <c r="A1783" s="2581"/>
      <c r="B1783" s="2695" t="s">
        <v>4060</v>
      </c>
      <c r="C1783" s="2748"/>
      <c r="D1783" s="1156" t="s">
        <v>4061</v>
      </c>
      <c r="E1783" s="2748"/>
      <c r="F1783" s="2748"/>
      <c r="G1783" s="2748"/>
      <c r="H1783" s="2748"/>
      <c r="I1783" s="2748"/>
      <c r="J1783" s="2748"/>
      <c r="K1783" s="2845">
        <f>'Part IX A-Scoring Criteria'!K229</f>
        <v>7</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4062</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4063</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4064</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4065</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4840</v>
      </c>
      <c r="D1789" s="2355"/>
      <c r="G1789" s="2736" t="s">
        <v>3811</v>
      </c>
      <c r="Q1789" s="2407"/>
    </row>
    <row r="1790" spans="1:26">
      <c r="A1790" s="2701"/>
      <c r="B1790" s="478" t="s">
        <v>3891</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4066</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4841</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4070</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4070</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4071</v>
      </c>
      <c r="D1799" s="2687"/>
      <c r="E1799" s="2687"/>
      <c r="F1799" s="2687"/>
      <c r="G1799" s="2736" t="s">
        <v>3811</v>
      </c>
      <c r="H1799" s="2687"/>
      <c r="I1799" s="2687"/>
      <c r="J1799" s="2687"/>
      <c r="K1799" s="2687"/>
      <c r="L1799" s="2687"/>
      <c r="M1799" s="2687"/>
      <c r="N1799" s="2687"/>
      <c r="O1799" s="2660" t="s">
        <v>2527</v>
      </c>
      <c r="P1799" s="2660" t="s">
        <v>2527</v>
      </c>
      <c r="Q1799" s="2687"/>
    </row>
    <row r="1800" spans="1:26" ht="18.75" customHeight="1">
      <c r="A1800" s="2701"/>
      <c r="B1800" s="2855"/>
      <c r="C1800" s="2662" t="s">
        <v>4842</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4187</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4185</v>
      </c>
      <c r="D1805" s="2665"/>
      <c r="E1805" s="2665"/>
      <c r="F1805" s="2665"/>
      <c r="G1805" s="2665"/>
      <c r="H1805" s="2665"/>
      <c r="I1805" s="2665"/>
      <c r="J1805" s="2665"/>
      <c r="K1805" s="2665"/>
      <c r="L1805" s="2662" t="s">
        <v>4189</v>
      </c>
      <c r="M1805" s="2662"/>
      <c r="N1805" s="2687" t="s">
        <v>4190</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4072</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4076</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3814</v>
      </c>
      <c r="D1811" s="2355"/>
      <c r="Q1811" s="2554"/>
    </row>
    <row r="1812" spans="1:26" ht="18.75" customHeight="1">
      <c r="A1812" s="2701"/>
      <c r="B1812" s="2856"/>
      <c r="C1812" s="2662" t="s">
        <v>4078</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4079</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4080</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4843</v>
      </c>
      <c r="D1816" s="2355"/>
      <c r="G1816" s="2736" t="s">
        <v>3811</v>
      </c>
      <c r="O1816" s="2660" t="s">
        <v>2527</v>
      </c>
      <c r="P1816" s="2660" t="s">
        <v>2527</v>
      </c>
      <c r="Q1816" s="2407"/>
    </row>
    <row r="1817" spans="1:26" ht="18.75" customHeight="1">
      <c r="A1817" s="2701"/>
      <c r="B1817" s="2824" t="s">
        <v>2002</v>
      </c>
      <c r="C1817" s="2662" t="s">
        <v>4074</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4075</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3780</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15.75">
      <c r="A1820" s="2433">
        <f>'Part IX A-Scoring Criteria'!A266</f>
        <v>0</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2805</v>
      </c>
      <c r="C1824" s="2766"/>
      <c r="D1824" s="2767"/>
      <c r="E1824" s="2767"/>
      <c r="F1824" s="2766"/>
      <c r="G1824" s="2766"/>
      <c r="H1824" s="2357" t="s">
        <v>4232</v>
      </c>
      <c r="I1824" s="2766"/>
      <c r="J1824" s="2766"/>
      <c r="K1824" s="2766"/>
      <c r="L1824" s="2766"/>
      <c r="M1824" s="2563">
        <v>7</v>
      </c>
      <c r="N1824" s="2554"/>
      <c r="O1824" s="2566">
        <f>'Part IX A-Scoring Criteria'!O270</f>
        <v>2</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3626</v>
      </c>
      <c r="B1826" s="2570" t="s">
        <v>3624</v>
      </c>
      <c r="C1826" s="2766"/>
      <c r="D1826" s="2767"/>
      <c r="E1826" s="2767"/>
      <c r="F1826" s="2766"/>
      <c r="G1826" s="2766"/>
      <c r="H1826" s="2357"/>
      <c r="I1826" s="2766"/>
      <c r="J1826" s="2766"/>
      <c r="K1826" s="2766"/>
      <c r="L1826" s="2766"/>
      <c r="M1826" s="2554">
        <v>3</v>
      </c>
      <c r="N1826" s="2810" t="s">
        <v>4084</v>
      </c>
      <c r="O1826" s="2566">
        <f>'Part IX A-Scoring Criteria'!O272</f>
        <v>1</v>
      </c>
      <c r="P1826" s="2563">
        <f>'Part IX A-Scoring Criteria'!P272</f>
        <v>0</v>
      </c>
      <c r="Q1826" s="2563"/>
      <c r="R1826" s="2748"/>
      <c r="S1826" s="2766"/>
      <c r="T1826" s="2766"/>
      <c r="U1826" s="2766"/>
      <c r="V1826" s="2766"/>
      <c r="W1826" s="2766"/>
      <c r="X1826" s="2766"/>
      <c r="Y1826" s="2766"/>
      <c r="Z1826" s="2766"/>
    </row>
    <row r="1827" spans="1:26">
      <c r="A1827" s="2860"/>
      <c r="B1827" s="2556" t="s">
        <v>2813</v>
      </c>
      <c r="C1827" s="1330"/>
      <c r="D1827" s="1330"/>
      <c r="H1827" s="2570" t="str">
        <f>'Part I-Project Information'!$H$100</f>
        <v>Flexible</v>
      </c>
      <c r="N1827" s="2810"/>
      <c r="O1827" s="2712" t="s">
        <v>2527</v>
      </c>
      <c r="P1827" s="2712" t="s">
        <v>2527</v>
      </c>
    </row>
    <row r="1828" spans="1:26" ht="12.75" customHeight="1">
      <c r="A1828" s="2860"/>
      <c r="B1828" s="2819" t="s">
        <v>2002</v>
      </c>
      <c r="C1828" s="1156" t="s">
        <v>2702</v>
      </c>
      <c r="M1828" s="2550"/>
      <c r="N1828" s="2810"/>
      <c r="O1828" s="2668" t="str">
        <f>'Part IX A-Scoring Criteria'!O274</f>
        <v>No</v>
      </c>
      <c r="P1828" s="2668">
        <f>'Part IX A-Scoring Criteria'!P274</f>
        <v>0</v>
      </c>
      <c r="Q1828" s="2861" t="str">
        <f>IF(AND(O1828="Yes",O1831="Yes"),"Only 1 or 4 can be 'Yes'!","")</f>
        <v/>
      </c>
      <c r="R1828" s="2861"/>
    </row>
    <row r="1829" spans="1:26" ht="12.75" customHeight="1">
      <c r="B1829" s="2819" t="s">
        <v>2004</v>
      </c>
      <c r="C1829" s="1156" t="s">
        <v>2758</v>
      </c>
      <c r="G1829" s="1156" t="s">
        <v>2405</v>
      </c>
      <c r="H1829" s="2862">
        <f>'Part IX A-Scoring Criteria'!H275</f>
        <v>0.1</v>
      </c>
      <c r="I1829" s="1156" t="s">
        <v>2759</v>
      </c>
      <c r="L1829" s="478" t="s">
        <v>2757</v>
      </c>
      <c r="M1829" s="2659" t="str">
        <f>IF(O1829&gt;H1829,"CHECK ACTUAL PERCENT!!!","")</f>
        <v/>
      </c>
      <c r="N1829" s="2785" t="s">
        <v>2004</v>
      </c>
      <c r="O1829" s="2863">
        <f>'Part IX A-Scoring Criteria'!O275</f>
        <v>6.1499999999999999E-2</v>
      </c>
      <c r="P1829" s="2863">
        <f>'Part IX A-Scoring Criteria'!P275</f>
        <v>0</v>
      </c>
      <c r="Q1829" s="2861"/>
      <c r="R1829" s="2861"/>
    </row>
    <row r="1830" spans="1:26" ht="12.75" customHeight="1">
      <c r="B1830" s="2819" t="s">
        <v>2551</v>
      </c>
      <c r="C1830" s="1156" t="s">
        <v>2406</v>
      </c>
      <c r="G1830" s="1156" t="s">
        <v>2407</v>
      </c>
      <c r="L1830" s="2598" t="s">
        <v>2751</v>
      </c>
      <c r="M1830" s="2355"/>
      <c r="N1830" s="2785" t="s">
        <v>2551</v>
      </c>
      <c r="O1830" s="2660" t="str">
        <f>'Part IX A-Scoring Criteria'!O276</f>
        <v>Upper</v>
      </c>
      <c r="P1830" s="2660" t="str">
        <f>'Part IX A-Scoring Criteria'!P276</f>
        <v>&lt;Select&gt;</v>
      </c>
      <c r="Q1830" s="2861"/>
      <c r="R1830" s="2861"/>
    </row>
    <row r="1831" spans="1:26" ht="12.75" customHeight="1">
      <c r="A1831" s="2679"/>
      <c r="B1831" s="2824" t="s">
        <v>1236</v>
      </c>
      <c r="C1831" s="2662" t="s">
        <v>4844</v>
      </c>
      <c r="D1831" s="2662"/>
      <c r="E1831" s="2662"/>
      <c r="F1831" s="2662"/>
      <c r="G1831" s="2662"/>
      <c r="H1831" s="2662"/>
      <c r="I1831" s="2662"/>
      <c r="J1831" s="2864" t="s">
        <v>4083</v>
      </c>
      <c r="K1831" s="2864" t="s">
        <v>4081</v>
      </c>
      <c r="L1831" s="2679"/>
      <c r="M1831" s="2557">
        <v>2</v>
      </c>
      <c r="N1831" s="2785" t="s">
        <v>1236</v>
      </c>
      <c r="O1831" s="2714" t="str">
        <f>'Part IX A-Scoring Criteria'!O277</f>
        <v>Yes</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4146</v>
      </c>
      <c r="M1832" s="2865"/>
      <c r="O1832" s="2552"/>
      <c r="P1832" s="2552"/>
    </row>
    <row r="1833" spans="1:26">
      <c r="B1833" s="2820"/>
      <c r="C1833" s="2662"/>
      <c r="D1833" s="2662"/>
      <c r="E1833" s="2662"/>
      <c r="F1833" s="2662"/>
      <c r="G1833" s="2662"/>
      <c r="H1833" s="2662"/>
      <c r="I1833" s="2662"/>
      <c r="J1833" s="2866">
        <f>'Part IX A-Scoring Criteria'!J279</f>
        <v>1</v>
      </c>
      <c r="K1833" s="2867">
        <f>'Part IX A-Scoring Criteria'!K279</f>
        <v>0.12</v>
      </c>
      <c r="L1833" s="2868">
        <f>'Part IX A-Scoring Criteria'!L279</f>
        <v>10</v>
      </c>
      <c r="M1833" s="2869">
        <f>'Part IX A-Scoring Criteria'!M279</f>
        <v>0</v>
      </c>
      <c r="O1833" s="2552"/>
      <c r="P1833" s="2552"/>
    </row>
    <row r="1834" spans="1:26">
      <c r="A1834" s="2605" t="s">
        <v>757</v>
      </c>
      <c r="B1834" s="2819" t="s">
        <v>3625</v>
      </c>
      <c r="C1834" s="1156"/>
      <c r="G1834" s="1156"/>
      <c r="M1834" s="2554">
        <v>2</v>
      </c>
      <c r="N1834" s="2584" t="s">
        <v>757</v>
      </c>
      <c r="O1834" s="2566">
        <f>'Part IX A-Scoring Criteria'!O280</f>
        <v>1</v>
      </c>
      <c r="P1834" s="2566">
        <f>'Part IX A-Scoring Criteria'!P280</f>
        <v>0</v>
      </c>
    </row>
    <row r="1835" spans="1:26">
      <c r="A1835" s="2605"/>
      <c r="B1835" s="2725" t="s">
        <v>3629</v>
      </c>
      <c r="C1835" s="2725"/>
      <c r="D1835" s="2725"/>
      <c r="E1835" s="2725"/>
      <c r="F1835" s="2725"/>
      <c r="G1835" s="2725"/>
      <c r="H1835" s="2670"/>
      <c r="I1835" s="2670"/>
      <c r="N1835" s="2550"/>
      <c r="O1835" s="2660" t="str">
        <f>'Part IX A-Scoring Criteria'!O281</f>
        <v>B3</v>
      </c>
      <c r="P1835" s="2660" t="str">
        <f>'Part IX A-Scoring Criteria'!P281</f>
        <v>&lt;Select&gt;</v>
      </c>
    </row>
    <row r="1836" spans="1:26">
      <c r="A1836" s="2605" t="s">
        <v>2131</v>
      </c>
      <c r="B1836" s="2819" t="s">
        <v>3627</v>
      </c>
      <c r="C1836" s="1156"/>
      <c r="G1836" s="2736" t="s">
        <v>3628</v>
      </c>
      <c r="H1836" s="2870">
        <f>'Part VI-Revenues &amp; Expenses'!$O$59</f>
        <v>8</v>
      </c>
      <c r="I1836" s="2712" t="s">
        <v>3631</v>
      </c>
      <c r="J1836" s="2870">
        <f>'Part VI-Revenues &amp; Expenses'!$O$62</f>
        <v>48</v>
      </c>
      <c r="K1836" s="2712" t="s">
        <v>3632</v>
      </c>
      <c r="L1836" s="2871">
        <f>IF(J1836=0,0,H1836/J1836)</f>
        <v>0.16666666666666666</v>
      </c>
      <c r="M1836" s="2554">
        <v>2</v>
      </c>
      <c r="N1836" s="2555" t="s">
        <v>2131</v>
      </c>
      <c r="O1836" s="2563">
        <f>'Part IX A-Scoring Criteria'!O282</f>
        <v>0</v>
      </c>
      <c r="P1836" s="2563">
        <f>'Part IX A-Scoring Criteria'!P282</f>
        <v>0</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4085</v>
      </c>
      <c r="C1840" s="2766"/>
      <c r="D1840" s="2767"/>
      <c r="E1840" s="2767"/>
      <c r="F1840" s="2766"/>
      <c r="G1840" s="2766"/>
      <c r="H1840" s="2357"/>
      <c r="I1840" s="2872" t="s">
        <v>3827</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3818</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f>'Part IX A-Scoring Criteria'!O287</f>
        <v>0</v>
      </c>
      <c r="P1841" s="2668">
        <f>'Part IX A-Scoring Criteria'!P287</f>
        <v>0</v>
      </c>
      <c r="U1841" s="2712">
        <f>IF(L1841="Yes",1,0)</f>
        <v>0</v>
      </c>
    </row>
    <row r="1842" spans="1:26">
      <c r="A1842" s="2562" t="s">
        <v>2001</v>
      </c>
      <c r="B1842" s="2873" t="s">
        <v>3819</v>
      </c>
      <c r="D1842" s="2722"/>
      <c r="L1842" s="2722"/>
      <c r="M1842" s="2874"/>
      <c r="N1842" s="2703" t="s">
        <v>2001</v>
      </c>
      <c r="O1842" s="2668">
        <f>'Part IX A-Scoring Criteria'!O288</f>
        <v>0</v>
      </c>
      <c r="P1842" s="2668">
        <f>'Part IX A-Scoring Criteria'!P288</f>
        <v>0</v>
      </c>
      <c r="U1842" s="2712">
        <f>IF(L1842="Yes",1,0)</f>
        <v>0</v>
      </c>
    </row>
    <row r="1843" spans="1:26" ht="15">
      <c r="A1843" s="2355"/>
      <c r="B1843" s="2767" t="s">
        <v>3780</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409.5">
      <c r="A1844" s="2662" t="str">
        <f>'Part IX A-Scoring Criteria'!A290</f>
        <v xml:space="preserve">Abbington on Cheshire Bridge is located in Census Tract 92, a 2018 qualified census tract.  However, it is located 0.12 mile from Census Tract 1 which is an Upper Income tract where 6.15% of families are below the poverty line.  Therefore, this site qualifies for 1 point under Stable Communities (Flexible Pool Low-Poverty Communities) because it is within 1/4 mile of a census tract that is designated Middle or Upper Income and where less than 10% are below the Poverty level.  The site is also located in a B3 health sub-cluster as designated by the Georgia Department of Public Health.  Therefore, this site is eligible for 1 additional point under Stable Communities (Georgia Department of Public Health Stable Communities) because it is located in a B3 sub-cluster.   </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3413</v>
      </c>
      <c r="I1848" s="2748"/>
      <c r="J1848" s="2659" t="s">
        <v>2813</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4845</v>
      </c>
      <c r="D1849" s="2355"/>
      <c r="E1849" s="2355"/>
      <c r="F1849" s="2355"/>
      <c r="H1849" s="2659" t="s">
        <v>3709</v>
      </c>
      <c r="I1849" s="1156"/>
      <c r="J1849" s="2659" t="str">
        <f>'Part I-Project Information'!$O$34</f>
        <v>No</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2725</v>
      </c>
    </row>
    <row r="1850" spans="1:26" ht="12.75" customHeight="1">
      <c r="A1850" s="1156"/>
      <c r="B1850" s="2824" t="s">
        <v>2002</v>
      </c>
      <c r="C1850" s="2662" t="s">
        <v>4245</v>
      </c>
      <c r="D1850" s="2662"/>
      <c r="E1850" s="2662"/>
      <c r="F1850" s="2662"/>
      <c r="G1850" s="2662"/>
      <c r="H1850" s="2662"/>
      <c r="I1850" s="2662"/>
      <c r="J1850" s="2662"/>
      <c r="K1850" s="2662"/>
      <c r="L1850" s="2662"/>
      <c r="M1850" s="2662"/>
      <c r="N1850" s="2774" t="s">
        <v>2002</v>
      </c>
      <c r="O1850" s="2714" t="str">
        <f>'Part IX A-Scoring Criteria'!O296</f>
        <v>No</v>
      </c>
      <c r="P1850" s="2714">
        <f>'Part IX A-Scoring Criteria'!P296</f>
        <v>0</v>
      </c>
      <c r="Q1850" s="2662" t="s">
        <v>4846</v>
      </c>
      <c r="R1850" s="2662"/>
      <c r="S1850" s="2662"/>
      <c r="T1850" s="2662"/>
      <c r="U1850" s="2662"/>
      <c r="V1850" s="2662"/>
      <c r="W1850" s="2662"/>
      <c r="X1850" s="2662"/>
      <c r="Y1850" s="2662"/>
      <c r="Z1850" s="2662"/>
    </row>
    <row r="1851" spans="1:26">
      <c r="A1851" s="478"/>
      <c r="B1851" s="2819"/>
      <c r="C1851" s="478" t="s">
        <v>3833</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3888</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2001</v>
      </c>
      <c r="B1856" s="2570" t="s">
        <v>4847</v>
      </c>
      <c r="C1856" s="2355"/>
      <c r="D1856" s="2355"/>
      <c r="E1856" s="2355"/>
      <c r="F1856" s="2355"/>
      <c r="G1856" s="2355"/>
      <c r="H1856" s="2797" t="s">
        <v>3414</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3633</v>
      </c>
      <c r="C1857" s="2355"/>
      <c r="D1857" s="2355"/>
      <c r="E1857" s="2355"/>
      <c r="F1857" s="2355"/>
      <c r="G1857" s="2355"/>
      <c r="H1857" s="2797"/>
      <c r="I1857" s="2355"/>
      <c r="J1857" s="2355"/>
      <c r="K1857" s="2355"/>
      <c r="L1857" s="2355"/>
      <c r="M1857" s="2554">
        <v>3</v>
      </c>
      <c r="N1857" s="2703" t="s">
        <v>2001</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4848</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3</v>
      </c>
      <c r="P1858" s="2747">
        <f>'Part IX A-Scoring Criteria'!P304</f>
        <v>0</v>
      </c>
      <c r="Q1858" s="2787" t="str">
        <f>IF(OR($O1858=$M1858,$O1858=0,$O1858=""),"","*CHECK!*")</f>
        <v/>
      </c>
      <c r="R1858" s="2831" t="s">
        <v>2725</v>
      </c>
      <c r="S1858" s="2355"/>
      <c r="T1858" s="2355"/>
      <c r="U1858" s="2355"/>
      <c r="V1858" s="2355"/>
      <c r="W1858" s="2355"/>
      <c r="X1858" s="2355"/>
      <c r="Y1858" s="2355"/>
      <c r="Z1858" s="2355"/>
    </row>
    <row r="1859" spans="1:26">
      <c r="A1859" s="2668" t="s">
        <v>1365</v>
      </c>
      <c r="B1859" s="2824" t="s">
        <v>2004</v>
      </c>
      <c r="C1859" s="2719" t="s">
        <v>4849</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2725</v>
      </c>
    </row>
    <row r="1860" spans="1:26">
      <c r="A1860" s="2562" t="s">
        <v>757</v>
      </c>
      <c r="B1860" s="2570" t="s">
        <v>4850</v>
      </c>
      <c r="C1860" s="2355"/>
      <c r="D1860" s="2355"/>
      <c r="E1860" s="2355"/>
      <c r="F1860" s="2355"/>
      <c r="G1860" s="2355"/>
      <c r="H1860" s="2797" t="s">
        <v>4091</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3636</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3635</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2725</v>
      </c>
      <c r="S1862" s="2355"/>
      <c r="T1862" s="2355"/>
      <c r="U1862" s="2355"/>
      <c r="V1862" s="2355"/>
      <c r="W1862" s="2355"/>
      <c r="X1862" s="2355"/>
      <c r="Y1862" s="2355"/>
      <c r="Z1862" s="2355"/>
    </row>
    <row r="1863" spans="1:26">
      <c r="A1863" s="2668" t="s">
        <v>1365</v>
      </c>
      <c r="B1863" s="2824" t="s">
        <v>2004</v>
      </c>
      <c r="C1863" s="2659" t="s">
        <v>4851</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2725</v>
      </c>
    </row>
    <row r="1864" spans="1:26">
      <c r="A1864" s="2668" t="s">
        <v>1365</v>
      </c>
      <c r="B1864" s="2824" t="s">
        <v>2551</v>
      </c>
      <c r="C1864" s="2719" t="s">
        <v>4852</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2725</v>
      </c>
    </row>
    <row r="1865" spans="1:26" ht="15">
      <c r="A1865" s="2355"/>
      <c r="B1865" s="2767" t="s">
        <v>3780</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409.5">
      <c r="A1866" s="2662" t="str">
        <f>'Part IX A-Scoring Criteria'!A312</f>
        <v>According to Georgia DCA's online GIS mapping system (.http://georgia-dca.maps.arcgis.com), there have never been any LIHTC awards within a mile of the development site.  Therefore, Abbington on Cheshire Bridge is eligible for three (3) points under Previous Projects (Flexible Pool) since the site is not within a 1-mile radius of a Georgia Housing Credit development that has received an award in the last Six (6) DCA funding cycles.  The closest LIHTC award is Campbell Stone (2911 Pharr Court South NW, Atlanta, GA 30305) which is a 342-unit 4% award in 2005 that is located 2.2 miles to the northwest of the proposed development site.</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2846</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2725</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2725</v>
      </c>
      <c r="S1873" s="2748"/>
      <c r="T1873" s="2815"/>
      <c r="U1873" s="2815"/>
      <c r="V1873" s="2748"/>
      <c r="W1873" s="2748"/>
      <c r="X1873" s="2748"/>
      <c r="Y1873" s="2748"/>
      <c r="Z1873" s="2748"/>
    </row>
    <row r="1874" spans="1:26" ht="18.75">
      <c r="A1874" s="2581"/>
      <c r="B1874" s="2598" t="s">
        <v>4092</v>
      </c>
      <c r="C1874" s="2748"/>
      <c r="D1874" s="478"/>
      <c r="E1874" s="2748"/>
      <c r="F1874" s="2748"/>
      <c r="G1874" s="2748"/>
      <c r="H1874" s="2660"/>
      <c r="I1874" s="2748"/>
      <c r="J1874" s="2748"/>
      <c r="K1874" s="478"/>
      <c r="L1874" s="2766"/>
      <c r="M1874" s="2554"/>
      <c r="N1874" s="2703"/>
      <c r="O1874" s="2668" t="str">
        <f>'Part IX A-Scoring Criteria'!O320</f>
        <v>No</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2801</v>
      </c>
      <c r="B1878" s="2750" t="s">
        <v>4093</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4094</v>
      </c>
      <c r="C1879" s="2620"/>
      <c r="D1879" s="2725"/>
      <c r="E1879" s="478"/>
      <c r="F1879" s="2748"/>
      <c r="G1879" s="2607">
        <f>'Part IX A-Scoring Criteria'!G325</f>
        <v>0</v>
      </c>
      <c r="H1879" s="2748"/>
      <c r="I1879" s="2748"/>
      <c r="J1879" s="2598" t="s">
        <v>2703</v>
      </c>
      <c r="K1879" s="2748"/>
      <c r="L1879" s="478"/>
      <c r="M1879" s="2748"/>
      <c r="N1879" s="2748"/>
      <c r="O1879" s="2557" t="str">
        <f>'Part I-Project Information'!$H$96</f>
        <v>No</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3483</v>
      </c>
      <c r="D1880" s="2355"/>
      <c r="E1880" s="2766"/>
      <c r="F1880" s="2766"/>
      <c r="G1880" s="2766"/>
      <c r="H1880" s="2766"/>
      <c r="I1880" s="2766"/>
      <c r="J1880" s="2766"/>
      <c r="K1880" s="2766"/>
      <c r="L1880" s="2766"/>
      <c r="M1880" s="2766"/>
      <c r="N1880" s="2817" t="s">
        <v>2002</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4113</v>
      </c>
      <c r="D1881" s="2355"/>
      <c r="E1881" s="2766"/>
      <c r="F1881" s="2766"/>
      <c r="G1881" s="2766"/>
      <c r="H1881" s="2766"/>
      <c r="I1881" s="2766"/>
      <c r="J1881" s="2766"/>
      <c r="K1881" s="2766"/>
      <c r="L1881" s="2766"/>
      <c r="M1881" s="2766"/>
      <c r="N1881" s="2817" t="s">
        <v>2004</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4112</v>
      </c>
      <c r="D1882" s="2355"/>
      <c r="E1882" s="2766"/>
      <c r="F1882" s="2766"/>
      <c r="G1882" s="2766"/>
      <c r="H1882" s="2766"/>
      <c r="I1882" s="2766"/>
      <c r="J1882" s="2766"/>
      <c r="K1882" s="2766"/>
      <c r="L1882" s="2766"/>
      <c r="M1882" s="2766"/>
      <c r="N1882" s="2817" t="s">
        <v>2551</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4114</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4095</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3483</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4126</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4114</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4096</v>
      </c>
      <c r="C1891" s="2808"/>
      <c r="D1891" s="2808"/>
      <c r="E1891" s="2808"/>
      <c r="F1891" s="2808"/>
      <c r="G1891" s="2808"/>
      <c r="H1891" s="478" t="s">
        <v>3601</v>
      </c>
      <c r="I1891" s="2695" t="str">
        <f>'Part I-Project Information'!$H$100</f>
        <v>Flexible</v>
      </c>
      <c r="J1891" s="2598"/>
      <c r="K1891" s="2808"/>
      <c r="L1891" s="2711" t="str">
        <f>IF(OR($O1891=$M1891,$O1891=0,$O1891=""),"","* * Check Score! * *")</f>
        <v/>
      </c>
      <c r="M1891" s="2563">
        <v>1</v>
      </c>
      <c r="N1891" s="2809"/>
      <c r="O1891" s="2563">
        <f>'Part IX A-Scoring Criteria'!O337</f>
        <v>1</v>
      </c>
      <c r="P1891" s="2563">
        <f>'Part IX A-Scoring Criteria'!P337</f>
        <v>0</v>
      </c>
      <c r="Q1891" s="2563" t="s">
        <v>443</v>
      </c>
      <c r="R1891" s="2831" t="s">
        <v>2725</v>
      </c>
      <c r="S1891" s="2808"/>
      <c r="T1891" s="2808"/>
      <c r="U1891" s="2808"/>
      <c r="V1891" s="2808"/>
      <c r="W1891" s="2808"/>
      <c r="X1891" s="2808"/>
      <c r="Y1891" s="2808"/>
      <c r="Z1891" s="2808"/>
    </row>
    <row r="1892" spans="1:26" ht="15" customHeight="1">
      <c r="A1892" s="2662" t="s">
        <v>4853</v>
      </c>
      <c r="B1892" s="2662"/>
      <c r="C1892" s="2662"/>
      <c r="D1892" s="2662"/>
      <c r="E1892" s="2662"/>
      <c r="F1892" s="2662"/>
      <c r="G1892" s="2662"/>
      <c r="H1892" s="2662"/>
      <c r="I1892" s="2687" t="s">
        <v>4195</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1 Abbington on Cheshire Bridge (Bonus Point)</v>
      </c>
      <c r="J1893" s="478">
        <f>'Part IX A-Scoring Criteria'!J339</f>
        <v>0</v>
      </c>
      <c r="K1893" s="478">
        <f>'Part IX A-Scoring Criteria'!K339</f>
        <v>0</v>
      </c>
      <c r="L1893" s="478" t="str">
        <f>'Part IX A-Scoring Criteria'!L339</f>
        <v>3 Altoview Terrace</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t="str">
        <f>'Part IX A-Scoring Criteria'!I340</f>
        <v>2 Abbington Ridge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3780</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101.25">
      <c r="A1896" s="2662" t="str">
        <f>'Part IX A-Scoring Criteria'!A342</f>
        <v xml:space="preserve">Applicant has elected to assign its Bonus Point to the Abbington on Cheshire Bridge application.               </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4150</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3640</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2725</v>
      </c>
      <c r="S1901" s="2748"/>
      <c r="T1901" s="2748"/>
      <c r="U1901" s="2748"/>
      <c r="V1901" s="2748"/>
      <c r="W1901" s="2748"/>
      <c r="X1901" s="2748"/>
      <c r="Y1901" s="2748"/>
      <c r="Z1901" s="2748"/>
    </row>
    <row r="1902" spans="1:26" ht="15">
      <c r="A1902" s="2748"/>
      <c r="B1902" s="2598" t="s">
        <v>4100</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4097</v>
      </c>
      <c r="D1903" s="478"/>
      <c r="E1903" s="478"/>
      <c r="F1903" s="478"/>
      <c r="G1903" s="478"/>
      <c r="H1903" s="478"/>
      <c r="I1903" s="478"/>
      <c r="J1903" s="478"/>
      <c r="K1903" s="478"/>
      <c r="L1903" s="478"/>
      <c r="M1903" s="478"/>
      <c r="N1903" s="2817" t="s">
        <v>2002</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4098</v>
      </c>
      <c r="D1904" s="478"/>
      <c r="E1904" s="478"/>
      <c r="F1904" s="478"/>
      <c r="G1904" s="478"/>
      <c r="H1904" s="478"/>
      <c r="I1904" s="478"/>
      <c r="J1904" s="478"/>
      <c r="K1904" s="478"/>
      <c r="L1904" s="478"/>
      <c r="M1904" s="478"/>
      <c r="N1904" s="2817" t="s">
        <v>2004</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4099</v>
      </c>
      <c r="D1905" s="478"/>
      <c r="E1905" s="478"/>
      <c r="F1905" s="478"/>
      <c r="G1905" s="478"/>
      <c r="H1905" s="478"/>
      <c r="I1905" s="478"/>
      <c r="J1905" s="478"/>
      <c r="K1905" s="478"/>
      <c r="L1905" s="478"/>
      <c r="M1905" s="478"/>
      <c r="N1905" s="2817" t="s">
        <v>2551</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3641</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2816</v>
      </c>
      <c r="D1908" s="2355"/>
      <c r="H1908" s="2876" t="s">
        <v>3509</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2725</v>
      </c>
    </row>
    <row r="1909" spans="1:26">
      <c r="A1909" s="2355"/>
      <c r="B1909" s="478" t="s">
        <v>2817</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3643</v>
      </c>
      <c r="C1910" s="478" t="str">
        <f>'Part I-Project Information'!$F$38</f>
        <v>Atlanta</v>
      </c>
      <c r="D1910" s="2355"/>
      <c r="E1910" s="478" t="s">
        <v>3508</v>
      </c>
      <c r="F1910" s="478" t="str">
        <f>'Part I-Project Information'!$J$39</f>
        <v>Fulton</v>
      </c>
      <c r="G1910" s="2355"/>
      <c r="H1910" s="2598" t="s">
        <v>455</v>
      </c>
      <c r="I1910" s="2598" t="str">
        <f>'Part I-Project Information'!$N$39</f>
        <v>Yes</v>
      </c>
      <c r="J1910" s="2355"/>
      <c r="K1910" s="2598" t="s">
        <v>3642</v>
      </c>
      <c r="L1910" s="2846" t="str">
        <f>'Part I-Project Information'!$O$38</f>
        <v>13121009200</v>
      </c>
      <c r="M1910" s="2846"/>
      <c r="N1910" s="2846"/>
      <c r="O1910" s="2846"/>
      <c r="P1910" s="2846"/>
      <c r="Q1910" s="2355"/>
      <c r="R1910" s="2355"/>
      <c r="S1910" s="2355"/>
      <c r="T1910" s="2355"/>
      <c r="U1910" s="2355"/>
      <c r="V1910" s="2355"/>
      <c r="W1910" s="2355"/>
      <c r="X1910" s="2355"/>
      <c r="Y1910" s="2355"/>
      <c r="Z1910" s="2355"/>
    </row>
    <row r="1911" spans="1:26" ht="15">
      <c r="A1911" s="2355"/>
      <c r="B1911" s="2767" t="s">
        <v>3780</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135">
      <c r="A1912" s="2662" t="str">
        <f>'Part IX A-Scoring Criteria'!A358</f>
        <v>Development is not within a Georgia Initiative for Community Housing community or a Designated Military Zone.</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4151</v>
      </c>
      <c r="B1916" s="2750" t="s">
        <v>4103</v>
      </c>
      <c r="C1916" s="2748"/>
      <c r="D1916" s="2620"/>
      <c r="E1916" s="2620"/>
      <c r="F1916" s="478"/>
      <c r="G1916" s="478"/>
      <c r="H1916" s="2570" t="s">
        <v>2813</v>
      </c>
      <c r="I1916" s="2748"/>
      <c r="J1916" s="2570" t="str">
        <f>'Part I-Project Information'!$H$100</f>
        <v>Flexible</v>
      </c>
      <c r="K1916" s="2748"/>
      <c r="L1916" s="2711" t="str">
        <f>IF(OR($O1916=$M1916,$O1916=$M1923,$O1916=$M1941,$O1916=0,$O1916=""),"","* * Check Score! * *")</f>
        <v/>
      </c>
      <c r="M1916" s="2747">
        <v>4</v>
      </c>
      <c r="N1916" s="2554"/>
      <c r="O1916" s="2747">
        <f>'Part IX A-Scoring Criteria'!O362</f>
        <v>3</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2902</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2847</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3836</v>
      </c>
      <c r="D1919" s="1156"/>
      <c r="E1919" s="1156"/>
      <c r="F1919" s="1156"/>
      <c r="G1919" s="1156"/>
      <c r="H1919" s="1156"/>
      <c r="I1919" s="1156"/>
      <c r="J1919" s="1156"/>
      <c r="K1919" s="1156"/>
      <c r="L1919" s="2737"/>
      <c r="M1919" s="2737"/>
      <c r="N1919" s="2713" t="s">
        <v>2452</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3835</v>
      </c>
      <c r="D1920" s="1156"/>
      <c r="E1920" s="1156"/>
      <c r="F1920" s="1156"/>
      <c r="G1920" s="1156"/>
      <c r="H1920" s="1156"/>
      <c r="I1920" s="1156"/>
      <c r="J1920" s="1156"/>
      <c r="K1920" s="1156"/>
      <c r="L1920" s="2737"/>
      <c r="M1920" s="2737"/>
      <c r="N1920" s="2703" t="s">
        <v>2453</v>
      </c>
      <c r="O1920" s="2668" t="str">
        <f>'Part IX A-Scoring Criteria'!O366</f>
        <v>Yes</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4104</v>
      </c>
      <c r="D1921" s="2627"/>
      <c r="E1921" s="2627"/>
      <c r="F1921" s="2627"/>
      <c r="G1921" s="2627"/>
      <c r="H1921" s="2627"/>
      <c r="I1921" s="2627"/>
      <c r="J1921" s="2627"/>
      <c r="K1921" s="2627"/>
      <c r="L1921" s="2627"/>
      <c r="M1921" s="2627"/>
      <c r="N1921" s="2713" t="s">
        <v>2454</v>
      </c>
      <c r="O1921" s="2714" t="str">
        <f>'Part IX A-Scoring Criteria'!O367</f>
        <v>Yes</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4105</v>
      </c>
      <c r="L1923" s="2711" t="str">
        <f>IF(OR($O1923=$M1923,$O1923=0,$O1923=""),"","* * Check Score! * *")</f>
        <v/>
      </c>
      <c r="M1923" s="2557">
        <v>3</v>
      </c>
      <c r="N1923" s="2703" t="s">
        <v>1999</v>
      </c>
      <c r="O1923" s="2747">
        <f>'Part IX A-Scoring Criteria'!O369</f>
        <v>3</v>
      </c>
      <c r="P1923" s="2747">
        <f>'Part IX A-Scoring Criteria'!P369</f>
        <v>0</v>
      </c>
      <c r="Q1923" s="2787" t="str">
        <f>IF(OR($O1923=$M1923,$O1923=0,$O1923=""),"","*CHECK!*")</f>
        <v/>
      </c>
      <c r="R1923" s="2831" t="s">
        <v>2725</v>
      </c>
    </row>
    <row r="1924" spans="1:26" ht="12.75" customHeight="1">
      <c r="A1924" s="2878"/>
      <c r="B1924" s="2800" t="s">
        <v>2002</v>
      </c>
      <c r="C1924" s="2662" t="s">
        <v>4106</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3647</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3484</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2750</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3645</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4549</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3646</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3648</v>
      </c>
      <c r="C1934" s="478" t="s">
        <v>4188</v>
      </c>
      <c r="I1934" s="2703" t="s">
        <v>3648</v>
      </c>
      <c r="J1934" s="2615">
        <f>'Part IX A-Scoring Criteria'!J380</f>
        <v>1200000</v>
      </c>
      <c r="K1934" s="2615">
        <f>'Part IX A-Scoring Criteria'!K380</f>
        <v>0</v>
      </c>
      <c r="L1934" s="2703" t="s">
        <v>3648</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4854</v>
      </c>
      <c r="H1935" s="2695" t="s">
        <v>2645</v>
      </c>
      <c r="J1935" s="2615">
        <f>SUM(J1925:K1934)</f>
        <v>1200000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11919387</v>
      </c>
      <c r="I1937" s="2557"/>
      <c r="J1937" s="2615">
        <f>'Part IV-A-Uses of Funds'!$G$132</f>
        <v>11919387</v>
      </c>
      <c r="K1937" s="2615"/>
      <c r="M1937" s="2348"/>
      <c r="N1937" s="2348"/>
      <c r="P1937" s="2348"/>
    </row>
    <row r="1938" spans="1:26" ht="12.75" customHeight="1">
      <c r="A1938" s="2653" t="s">
        <v>4855</v>
      </c>
      <c r="B1938" s="2653"/>
      <c r="C1938" s="2653"/>
      <c r="D1938" s="2653"/>
      <c r="E1938" s="2736" t="s">
        <v>2647</v>
      </c>
      <c r="H1938" s="2881">
        <f>'Part IX A-Scoring Criteria'!H384</f>
        <v>0.100676</v>
      </c>
      <c r="I1938" s="2557"/>
      <c r="J1938" s="2882">
        <f>IF($J1937=0,0,$J1935/$J1937)</f>
        <v>0.10067631833751182</v>
      </c>
      <c r="K1938" s="2882"/>
      <c r="M1938" s="2882">
        <f>IF($J1937=0,0,$M1935/$J1937)</f>
        <v>0</v>
      </c>
      <c r="N1938" s="2882"/>
      <c r="O1938" s="2882"/>
      <c r="P1938" s="2882"/>
    </row>
    <row r="1939" spans="1:26" ht="15">
      <c r="A1939" s="2653"/>
      <c r="B1939" s="2653"/>
      <c r="C1939" s="2653"/>
      <c r="D1939" s="2653"/>
      <c r="E1939" s="2725" t="s">
        <v>4299</v>
      </c>
      <c r="F1939" s="2748"/>
      <c r="G1939" s="2748"/>
      <c r="H1939" s="2690">
        <f>'Part IX A-Scoring Criteria'!H385</f>
        <v>3</v>
      </c>
      <c r="I1939" s="2557"/>
      <c r="J1939" s="2603">
        <f>IF(L1918="",IF(OR(AND($J1916="Flexible",$J1938&gt;=0.15),AND($J1916="Rural",$J1938&gt;=0.1)), 4,IF(AND($J1916="Flexible",$J1938&gt;=0.1), 3,IF(OR(AND($J1916="Flexible",$J1938&gt;=0.05),AND($J1916="Rural",$J1938&gt;=0.05)), 2,IF(OR(AND($J1916="Flexible",$J1938&gt;=0.02),AND($J1916="Rural",$J1938&gt;=0.02)),1,0)))),0)</f>
        <v>3</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3649</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2725</v>
      </c>
      <c r="S1941" s="2766"/>
      <c r="T1941" s="2766"/>
      <c r="U1941" s="2766"/>
      <c r="V1941" s="2815"/>
      <c r="W1941" s="2815"/>
      <c r="X1941" s="2766"/>
      <c r="Y1941" s="2766"/>
      <c r="Z1941" s="2766"/>
    </row>
    <row r="1942" spans="1:26" ht="18.75" customHeight="1">
      <c r="A1942" s="2581"/>
      <c r="B1942" s="2713" t="s">
        <v>2451</v>
      </c>
      <c r="C1942" s="2662" t="s">
        <v>4107</v>
      </c>
      <c r="D1942" s="2662"/>
      <c r="E1942" s="2662"/>
      <c r="F1942" s="2662"/>
      <c r="G1942" s="2662"/>
      <c r="H1942" s="2662"/>
      <c r="I1942" s="2662"/>
      <c r="J1942" s="2662"/>
      <c r="K1942" s="2662"/>
      <c r="L1942" s="2662"/>
      <c r="M1942" s="2662"/>
      <c r="N1942" s="2713" t="s">
        <v>2451</v>
      </c>
      <c r="O1942" s="2714" t="str">
        <f>'Part IX A-Scoring Criteria'!O388</f>
        <v>No</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3828</v>
      </c>
      <c r="D1943" s="478"/>
      <c r="E1943" s="478"/>
      <c r="F1943" s="478"/>
      <c r="G1943" s="478"/>
      <c r="H1943" s="478"/>
      <c r="I1943" s="478"/>
      <c r="J1943" s="478"/>
      <c r="K1943" s="478"/>
      <c r="L1943" s="2748"/>
      <c r="M1943" s="478"/>
      <c r="N1943" s="2713" t="s">
        <v>2452</v>
      </c>
      <c r="O1943" s="2668">
        <f>'Part IX A-Scoring Criteria'!O389</f>
        <v>0</v>
      </c>
      <c r="P1943" s="2668">
        <f>'Part IX A-Scoring Criteria'!P389</f>
        <v>0</v>
      </c>
      <c r="Q1943" s="2748"/>
      <c r="R1943" s="2748"/>
      <c r="S1943" s="2748"/>
      <c r="T1943" s="2748"/>
      <c r="U1943" s="2748"/>
      <c r="V1943" s="2815"/>
      <c r="W1943" s="2815"/>
      <c r="X1943" s="2748"/>
      <c r="Y1943" s="2748"/>
      <c r="Z1943" s="2748"/>
    </row>
    <row r="1944" spans="1:26">
      <c r="B1944" s="2703" t="s">
        <v>2453</v>
      </c>
      <c r="C1944" s="1156" t="s">
        <v>4108</v>
      </c>
      <c r="N1944" s="2703" t="s">
        <v>2453</v>
      </c>
      <c r="O1944" s="2668">
        <f>'Part IX A-Scoring Criteria'!O390</f>
        <v>0</v>
      </c>
      <c r="P1944" s="2668">
        <f>'Part IX A-Scoring Criteria'!P390</f>
        <v>0</v>
      </c>
    </row>
    <row r="1945" spans="1:26">
      <c r="B1945" s="2767" t="s">
        <v>3780</v>
      </c>
      <c r="N1945" s="2550"/>
      <c r="O1945" s="2552"/>
      <c r="P1945" s="2552"/>
    </row>
    <row r="1946" spans="1:26" ht="409.5">
      <c r="A1946" s="2662" t="str">
        <f>'Part IX A-Scoring Criteria'!A392</f>
        <v xml:space="preserve">Development has received an award from Invest Atlanta (a government entity) of $1,200,000 in Housing Opportunity Bonds loan funds.  This loan is set at a fixed interest rate of 2.0%, which is below AFR and is for a term of 30 years, which exceeds the minimum required period of 10 years.  This amount also represents greater than 10% of the total development cost.  It is also classified by Invest Atlanta as unrestricited funding that can be used to pay for the costs associated with market rate and affordable units.  Therefore, these funds qualify as favorable financing per the 2018 QAP and are eligible for the full 3 points.  </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4149</v>
      </c>
      <c r="B1950" s="2748"/>
      <c r="C1950" s="2750" t="s">
        <v>2738</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3675</v>
      </c>
      <c r="C1951" s="2748"/>
      <c r="D1951" s="2355"/>
      <c r="E1951" s="2355"/>
      <c r="F1951" s="2355"/>
      <c r="G1951" s="2748"/>
      <c r="H1951" s="2748"/>
      <c r="I1951" s="2748"/>
      <c r="J1951" s="2598" t="s">
        <v>3839</v>
      </c>
      <c r="K1951" s="2748"/>
      <c r="L1951" s="2635">
        <f>'Part VI-Revenues &amp; Expenses'!$O$62*0.1</f>
        <v>4.8000000000000007</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3838</v>
      </c>
      <c r="D1952" s="2662"/>
      <c r="E1952" s="2662"/>
      <c r="F1952" s="2662"/>
      <c r="G1952" s="2662"/>
      <c r="H1952" s="2662"/>
      <c r="I1952" s="2662"/>
      <c r="J1952" s="2598" t="s">
        <v>3841</v>
      </c>
      <c r="K1952" s="2748"/>
      <c r="L1952" s="2635">
        <f>'Part VI-Revenues &amp; Expenses'!$O$58</f>
        <v>40</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3842</v>
      </c>
      <c r="K1953" s="2799"/>
      <c r="L1953" s="2635">
        <f>L1952*0.1</f>
        <v>4</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3843</v>
      </c>
      <c r="K1954" s="2799"/>
      <c r="L1954" s="2635">
        <f>'Part VI-Revenues &amp; Expenses'!$K$58</f>
        <v>6</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3416</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3840</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3837</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2739</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3860</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3680</v>
      </c>
      <c r="D1961" s="2665"/>
      <c r="E1961" s="2665"/>
      <c r="F1961" s="2665"/>
      <c r="G1961" s="2433">
        <f>'Part IX A-Scoring Criteria'!G407</f>
        <v>0</v>
      </c>
      <c r="H1961" s="2433">
        <f>'Part IX A-Scoring Criteria'!H407</f>
        <v>0</v>
      </c>
      <c r="I1961" s="2433">
        <f>'Part IX A-Scoring Criteria'!I407</f>
        <v>0</v>
      </c>
      <c r="J1961" s="2883" t="s">
        <v>3681</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3417</v>
      </c>
      <c r="D1962" s="2687"/>
      <c r="E1962" s="2687"/>
      <c r="F1962" s="2687"/>
      <c r="G1962" s="2687"/>
      <c r="H1962" s="2687"/>
      <c r="I1962" s="2687"/>
      <c r="J1962" s="2687" t="s">
        <v>3679</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3780</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180">
      <c r="A1964" s="2662" t="str">
        <f>'Part IX A-Scoring Criteria'!A410</f>
        <v>Applicant has set aside a minimum of 10% of the total units as 1-bedroom units at 50% AMI rents and agrees to accept Section 811 PBRA on these units.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4152</v>
      </c>
      <c r="B1968" s="2750" t="s">
        <v>2740</v>
      </c>
      <c r="C1968" s="2748"/>
      <c r="D1968" s="2598"/>
      <c r="E1968" s="2748"/>
      <c r="F1968" s="2748"/>
      <c r="G1968" s="2797" t="s">
        <v>3413</v>
      </c>
      <c r="H1968" s="2748"/>
      <c r="I1968" s="2748"/>
      <c r="J1968" s="478" t="s">
        <v>3419</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3485</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2850</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4856</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2725</v>
      </c>
      <c r="S1972" s="2799"/>
      <c r="T1972" s="2799"/>
      <c r="U1972" s="2799"/>
      <c r="V1972" s="2799"/>
      <c r="W1972" s="2799"/>
      <c r="X1972" s="2799"/>
      <c r="Y1972" s="2799"/>
      <c r="Z1972" s="2799"/>
    </row>
    <row r="1973" spans="1:26" ht="15" customHeight="1">
      <c r="A1973" s="2805"/>
      <c r="B1973" s="2627" t="s">
        <v>4247</v>
      </c>
      <c r="C1973" s="2627"/>
      <c r="D1973" s="2627"/>
      <c r="E1973" s="2627"/>
      <c r="F1973" s="2627"/>
      <c r="G1973" s="2627"/>
      <c r="H1973" s="2627"/>
      <c r="I1973" s="2627"/>
      <c r="J1973" s="2627"/>
      <c r="K1973" s="2627"/>
      <c r="L1973" s="2627"/>
      <c r="M1973" s="2662" t="s">
        <v>4857</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2848</v>
      </c>
      <c r="N1975" s="2801"/>
      <c r="O1975" s="2887">
        <f>'Part VI-Revenues &amp; Expenses'!$O$62</f>
        <v>48</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2849</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4858</v>
      </c>
      <c r="B1979" s="2658" t="s">
        <v>3379</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2725</v>
      </c>
      <c r="S1979" s="2799"/>
      <c r="T1979" s="2799"/>
      <c r="U1979" s="2799"/>
      <c r="V1979" s="2799"/>
      <c r="W1979" s="2799"/>
      <c r="X1979" s="2799"/>
      <c r="Y1979" s="2799"/>
      <c r="Z1979" s="2799"/>
    </row>
    <row r="1980" spans="1:26" ht="15" customHeight="1">
      <c r="A1980" s="2889"/>
      <c r="B1980" s="2662" t="s">
        <v>4248</v>
      </c>
      <c r="C1980" s="2662"/>
      <c r="D1980" s="2662"/>
      <c r="E1980" s="2662"/>
      <c r="F1980" s="2662"/>
      <c r="G1980" s="2662"/>
      <c r="H1980" s="2662"/>
      <c r="I1980" s="2662"/>
      <c r="J1980" s="2662"/>
      <c r="K1980" s="2662"/>
      <c r="L1980" s="2662"/>
      <c r="M1980" s="2722" t="s">
        <v>2848</v>
      </c>
      <c r="N1980" s="2801"/>
      <c r="O1980" s="2887">
        <f>'Part VI-Revenues &amp; Expenses'!$O$62</f>
        <v>48</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2849</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3780</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90">
      <c r="A1983" s="2662" t="str">
        <f>'Part IX A-Scoring Criteria'!A429</f>
        <v>Applicant is not pursuing historic preservation on this development.</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4153</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3683</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3684</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3685</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67</v>
      </c>
      <c r="P1995" s="2892">
        <f>P1562+P1597+P1611+P1621+P1648+P1665+P1707+P1743+P1782+P1824+P1840+P1848+P1870+P1878+P1891+P1900+P1916+P1950+P1968+P1987</f>
        <v>20</v>
      </c>
      <c r="Q1995" s="2355"/>
      <c r="R1995" s="2603">
        <f>'Part IX A-Scoring Criteria'!O441</f>
        <v>67</v>
      </c>
      <c r="S1995" s="2355"/>
      <c r="T1995" s="2355"/>
      <c r="U1995" s="2355"/>
      <c r="V1995" s="2355"/>
      <c r="W1995" s="2355"/>
      <c r="X1995" s="2355"/>
      <c r="Y1995" s="2355"/>
      <c r="Z1995" s="2355"/>
    </row>
    <row r="1996" spans="1:26" ht="15.75">
      <c r="A1996" s="2748"/>
      <c r="B1996" s="2890"/>
      <c r="C1996" s="2748"/>
      <c r="F1996" s="2746"/>
      <c r="G1996" s="2746"/>
      <c r="H1996" s="2570" t="s">
        <v>4242</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4243</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4251</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3714</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4256</v>
      </c>
    </row>
    <row r="2010" spans="1:26" ht="16.5">
      <c r="A2010" s="2895" t="str">
        <f>'Part I-Project Information'!$F$34</f>
        <v>Abbington on Cheshire Bridge</v>
      </c>
    </row>
    <row r="2011" spans="1:26" ht="16.5">
      <c r="A2011" s="2895" t="str">
        <f>CONCATENATE('Part I-Project Information'!$F$38,", ", 'Part I-Project Information'!$J$39," County")</f>
        <v>Atlanta, Fulton County</v>
      </c>
    </row>
    <row r="2013" spans="1:26" ht="12.75" customHeight="1">
      <c r="A2013" s="2347" t="str">
        <f>'Pt IX B-Healthy Housg Init Narr'!A5</f>
        <v xml:space="preserve">Residents at Abbington on Cheshire Bridge will enjoy access to a comprehensive Healthy Living Initiative designed to meet known health challenges in the community (Fulton County).  The program consists of four main components:
1. Monthly on-site health screening by primary care physicians
2. Monthly healthy living seminars covering preventive health care and healthy eating practices provided by experienced health care providers
3. Regular use of a fitness facility providing regular on-site fitness instruction
4. Use of an on-site community garden to source healthy produce
The development would employ a part-time Health Services Coordinator (HSC) to coordinate the components of the wellness program, encourage resident participation, serve as a liaison with the health care provider, coordinate fitness services, track resident health results and needs, and provide quarterly reports to the owner and yearly reports to DCA.
The development owner has signed an agreement with Homecare Medicine of Atlanta (HCMA) to provide regular on-site screening as well as regular health care education programs at Abbington on Cheshire Bridge.  HCMA is an Atlanta-based mobile primary care provider with extensive experience providing on-site health care at senior independent living, apartment communities, and assisted living facilities.  A distinguishing factor is its use of primary care doctors, rather than physician assistants, to provide screenings and on-site health care services.  These primary health care providers are able to make referrals as well as provide additional treatment on site as needed.  Monthly health screenings and educational seminars would be provided to residents at minimal cost (less than $15/month) but actual on-site treatment would be handled as an additional service between HCMA and the patient.  For more information, visit www.hcmatl.com or view the overview information accompanying this narrative.
Monthly health screenings would be available at minimal cost to residents (less than $15/month) on a monthly basis and take place in one of two on-site private screening rooms.  Abbington on Cheshire Bridge would cover the majority of the cost of these services as a part of its annual operating expense budget.  Screening options available would include immunizations (minimally including flu shots), diabetes screening, blood pressure screenings, healthy weight and body composition assessments, and general health risk assessments.  Health care provider visits to residents’ homes (if risk factors are identified during a screening) would be at additional cost, as determined between the provider and patient. 
The health screening facility would be built like a typical “doc in a box” center.  Residents would enter a waiting room/reception area that features chairs and informational displays of health-care information.  The bulletin board featuring information on program details of the Healthy Living Challenge initiative would also be displayed in the waiting area.  There would be two private health care rooms accessible from the waiting area.  
Each screening room would be private with a closing door and furnished like a typical patient clinic consultation room with exam table, sink, storage cabinets and counter, and basic medical screening equipment.  Additional medical equipment would be provided by HCMA staff as needed to conduct screenings and consultations.  Some tests that require lab work would be sent off site.  HCMA would provide staff to conduct the screenings at Abbington on Cheshire Bridge on a monthly basis.  If screening tests do identify a concern, HCMA would be able to provide health care providers that would be able to provide limited treatment to residents or refer them to a specialist if needed for further consultation.
The HSC staff person will track and measure health outcomes of residents via a monthly health questionnaire.  These questionnaires will need to be completed by a resident in order to participate in the monthly health screenings or to reserve a community garden plot.  The health questionnaire will ask about a household’s use of the fitness center (frequency gym used, classes taken), visits to a primary care doctor, visits to a specialist doctor, visits to an Emergency Room, number of hospital admissions, and enrollment in Medicare and/or Medicaid.
Monthly seminars would be conducted by the health-care provider in the community room.  Resident participation in a monthly seminar would be tracked by management using an attendance sheet.  Given the identified health needs in Fulton County, these seminars would include a focus on diabetes and heart disease prevention, but would also include other topics such as healthy eating, disease prevention, and common disease symptoms at the request of residents.  Additional topics would be determined based on resident requests and in consultation with property management.   The healthy eating component of the monthly seminars would include determining proper nutrition, help in sourcing affordable healthy food options, and proper food storage, cooking, and cleaning techniques.  
As a part of its agreement, HCMA will provide property management with a range of health care educational materials.   The materials would be organized and made available in a prominent location in common areas such as the community room and fitness center.   HCMA, in association with its network of other health care providers, will also conduct regular monthly on-site health care educational seminars at Abbington on Cheshire Bridge.  These seminars would be conducted in the community room and focus on diabetes and heart disease prevention, but also including other topics such as healthy eating (to include discussion of vegetables and fruits that can be grown at the community garden), disease prevention, and common disease symptoms at the request of residents.  Topics would be determined based on resident requests and in consultation with property management.  HCMA staff would also conduct one-on-one patient education, as appropriate, during the regular health screenings.        
The fitness facility at the development will be well furnished and offer residents numerous opportunities for exercise and fitness in an enlarged on-site fitness center.  In addition to a large work-out space (featuring cardiovascular equipment, free weights, and several multi-station strength training machines), the fitness center will also feature a separate physical instruction space to allow fitness classes to be taught by fitness instructors from local gyms.  Use of the fitness center will be tracked via the “honor system” as part of the questionnaire used by the HSC to book monthly health screening services.  Use of fitness classes will be tracked by the attendance sign up sheet maintained by the HSC, who will also coordinate the type and frequency of the fitness classes.  
The community garden at Abbington on Cheshire Bridge will have multiple raised garden beds, each of which are divided into 2-3 plots.  These plots are available for free and “leased” to residents for a 4-month growing season on a first-come, first-served basis.  The monthly seminars provided by the health care provider would include basic instruction in healthy food identification including fruits and vegetables that could be planted and grown at the community garden.  Management, coordinated through the part-time Health Services Coordinator, will also refer residents to local resources (such as an agricultural extension office) for tips in successful garden maintenance and crop selection.  
A large bulletin board will be prominently displayed in the waiting room of the health screening facility.  This bulleting board will allow the HSC to maintain standard information outlining residents’ opportunities under the healthy living and healthy program.  This ongoing display will raise visibility of the program as well as encourage others to participate.
The HSC would be responsible for assessing residents’ health needs, making appropriate referrals to service providers, serve as liaison with the health services provider, administer the participation incentives program, and compile and submit quarterly health reports to the owner and annual health reports to DCA.  These reports would include information on usage of the health services, performance of the incentives program, and generalized information (so as to protect privacy) on resident visits to doctors.
Abbington on Cheshire Bridge connects to an extensive sidewalk network along a major thoroughfare (Cheshire Bridge Road), putting residents in easy walking distance of numerous restaurants and shops.  The site is also located near multiple MARTA bus stops, encouraging residents to use public transit and thereby walk more frequently to get to their destinations.
The Healthy Living Initiative at Abbington on Cheshire Bridge would be extensive, tying together community infrastructure, fitness and medical space, and regular on-site medical screenings, educational seminars, and consultations.  Regular use of these amenities, and thereby regular healthy living choices, will be encouraged.  The intended result is a superb and sustainable quality of life for residents with nearly all the resources necessary to screen for, prevent, and access treatment to live a long and healthy life.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HydMzOlTGyg1EnV5LnbdkYDqCfBY3t3EzaISl5Fa7hZ2P/gDeqmInaIWMOebeXbszvpb9bB+RfM3zVMNtpgBvQ==" saltValue="cSNqpfy2X3a1kHgrFGFp6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25" zoomScaleNormal="125" zoomScalePageLayoutView="125"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42578125" style="324" customWidth="1"/>
    <col min="25" max="16384" width="9.140625" style="324"/>
  </cols>
  <sheetData>
    <row r="1" spans="1:27" s="305" customFormat="1" ht="14.1" customHeight="1">
      <c r="A1" s="1693" t="str">
        <f>CONCATENATE("PART TWO - DEVELOPMENT TEAM INFORMATION","  -  ",'Part I-Project Information'!$O$6," ",'Part I-Project Information'!$F$34,", ",'Part I-Project Information'!F38,", ",'Part I-Project Information'!J39," County")</f>
        <v>PART TWO - DEVELOPMENT TEAM INFORMATION  -  2018-046 Abbington on Cheshire Bridge, Atlanta, Fulton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3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8" t="s">
        <v>4572</v>
      </c>
      <c r="I5" s="3519"/>
      <c r="J5" s="3519"/>
      <c r="K5" s="3519"/>
      <c r="L5" s="3519"/>
      <c r="M5" s="3519"/>
      <c r="N5" s="3520"/>
      <c r="O5" s="1559" t="s">
        <v>2005</v>
      </c>
      <c r="P5" s="1559"/>
      <c r="Q5" s="3518" t="s">
        <v>4554</v>
      </c>
      <c r="R5" s="3519"/>
      <c r="S5" s="3520"/>
      <c r="Y5" s="1163"/>
      <c r="Z5" s="1164"/>
      <c r="AA5" s="1570"/>
    </row>
    <row r="6" spans="1:27" s="305" customFormat="1" ht="11.25" customHeight="1">
      <c r="D6" s="348"/>
      <c r="E6" s="310" t="s">
        <v>1031</v>
      </c>
      <c r="F6" s="318"/>
      <c r="H6" s="3518" t="s">
        <v>4560</v>
      </c>
      <c r="I6" s="3519"/>
      <c r="J6" s="3519"/>
      <c r="K6" s="3519"/>
      <c r="L6" s="3519"/>
      <c r="M6" s="3519"/>
      <c r="N6" s="3520"/>
      <c r="O6" s="1559" t="s">
        <v>1760</v>
      </c>
      <c r="Q6" s="3518" t="s">
        <v>4573</v>
      </c>
      <c r="R6" s="3519"/>
      <c r="S6" s="3520"/>
      <c r="V6" s="1163"/>
      <c r="W6" s="1163"/>
      <c r="X6" s="1163"/>
      <c r="Y6" s="1163"/>
      <c r="Z6" s="1164"/>
      <c r="AA6" s="1570"/>
    </row>
    <row r="7" spans="1:27" s="305" customFormat="1" ht="11.25" customHeight="1">
      <c r="D7" s="348"/>
      <c r="E7" s="310" t="s">
        <v>624</v>
      </c>
      <c r="H7" s="3518" t="s">
        <v>1217</v>
      </c>
      <c r="I7" s="3519"/>
      <c r="J7" s="3520"/>
      <c r="K7" s="3521" t="s">
        <v>770</v>
      </c>
      <c r="L7" s="3518"/>
      <c r="M7" s="3519"/>
      <c r="N7" s="3520"/>
      <c r="O7" s="1559" t="s">
        <v>1734</v>
      </c>
      <c r="Q7" s="3522">
        <v>4042504093</v>
      </c>
      <c r="R7" s="3523"/>
      <c r="S7" s="3524"/>
    </row>
    <row r="8" spans="1:27" s="305" customFormat="1" ht="11.25" customHeight="1">
      <c r="D8" s="348"/>
      <c r="E8" s="310" t="s">
        <v>1812</v>
      </c>
      <c r="H8" s="3525" t="s">
        <v>856</v>
      </c>
      <c r="I8" s="1562" t="s">
        <v>2245</v>
      </c>
      <c r="J8" s="3526">
        <v>303052119</v>
      </c>
      <c r="K8" s="3520"/>
      <c r="L8" s="305" t="s">
        <v>3713</v>
      </c>
      <c r="M8" s="3527" t="s">
        <v>4574</v>
      </c>
      <c r="N8" s="3528"/>
      <c r="O8" s="1559" t="s">
        <v>1995</v>
      </c>
      <c r="Q8" s="3522">
        <v>4042731892</v>
      </c>
      <c r="R8" s="3523"/>
      <c r="S8" s="3524"/>
    </row>
    <row r="9" spans="1:27" s="305" customFormat="1" ht="11.25" customHeight="1">
      <c r="D9" s="348"/>
      <c r="E9" s="310" t="s">
        <v>4315</v>
      </c>
      <c r="H9" s="3522">
        <v>4042504093</v>
      </c>
      <c r="I9" s="3524"/>
      <c r="J9" s="3529"/>
      <c r="K9" s="1571" t="s">
        <v>2000</v>
      </c>
      <c r="L9" s="3530" t="s">
        <v>4557</v>
      </c>
      <c r="M9" s="3531"/>
      <c r="N9" s="3531"/>
      <c r="O9" s="3531"/>
      <c r="P9" s="3531"/>
      <c r="Q9" s="3531"/>
      <c r="R9" s="3531"/>
      <c r="S9" s="3532"/>
    </row>
    <row r="10" spans="1:27" s="305" customFormat="1" ht="11.25" customHeight="1">
      <c r="D10" s="348"/>
      <c r="E10" s="1417" t="s">
        <v>4314</v>
      </c>
      <c r="H10" s="342"/>
      <c r="K10" s="278"/>
      <c r="N10" s="380" t="s">
        <v>3589</v>
      </c>
      <c r="Q10" s="1571"/>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3" t="s">
        <v>1296</v>
      </c>
      <c r="W12" s="3533"/>
      <c r="X12" s="3533"/>
      <c r="Y12" s="3533"/>
      <c r="Z12" s="3533"/>
    </row>
    <row r="13" spans="1:27" s="305" customFormat="1" ht="11.25" customHeight="1">
      <c r="C13" s="350" t="s">
        <v>2002</v>
      </c>
      <c r="D13" s="347" t="s">
        <v>2003</v>
      </c>
      <c r="H13" s="1570"/>
      <c r="I13" s="1570"/>
      <c r="J13" s="1570"/>
      <c r="N13" s="1165"/>
      <c r="W13" s="3534"/>
      <c r="X13" s="3534"/>
      <c r="Y13" s="3534"/>
      <c r="Z13" s="3534"/>
    </row>
    <row r="14" spans="1:27" s="305" customFormat="1" ht="11.25" customHeight="1">
      <c r="D14" s="307" t="s">
        <v>2132</v>
      </c>
      <c r="E14" s="305" t="s">
        <v>1870</v>
      </c>
      <c r="H14" s="3535" t="s">
        <v>4575</v>
      </c>
      <c r="I14" s="3536"/>
      <c r="J14" s="3536"/>
      <c r="K14" s="3536"/>
      <c r="L14" s="3536"/>
      <c r="M14" s="3536"/>
      <c r="N14" s="3537"/>
      <c r="O14" s="1559" t="s">
        <v>2005</v>
      </c>
      <c r="P14" s="1559"/>
      <c r="Q14" s="3535" t="s">
        <v>4554</v>
      </c>
      <c r="R14" s="3536"/>
      <c r="S14" s="3537"/>
    </row>
    <row r="15" spans="1:27" s="305" customFormat="1" ht="11.25" customHeight="1">
      <c r="D15" s="348"/>
      <c r="E15" s="310" t="s">
        <v>1031</v>
      </c>
      <c r="F15" s="318"/>
      <c r="H15" s="3535" t="s">
        <v>4560</v>
      </c>
      <c r="I15" s="3536"/>
      <c r="J15" s="3536"/>
      <c r="K15" s="3536"/>
      <c r="L15" s="3536"/>
      <c r="M15" s="3536"/>
      <c r="N15" s="3537"/>
      <c r="O15" s="1559" t="s">
        <v>1760</v>
      </c>
      <c r="Q15" s="3535" t="s">
        <v>4573</v>
      </c>
      <c r="R15" s="3536"/>
      <c r="S15" s="3537"/>
    </row>
    <row r="16" spans="1:27" s="305" customFormat="1" ht="11.25" customHeight="1">
      <c r="D16" s="348"/>
      <c r="E16" s="310" t="s">
        <v>624</v>
      </c>
      <c r="H16" s="3535" t="s">
        <v>1217</v>
      </c>
      <c r="I16" s="3536"/>
      <c r="J16" s="3537"/>
      <c r="K16" s="1561" t="s">
        <v>2723</v>
      </c>
      <c r="L16" s="3535"/>
      <c r="M16" s="3536"/>
      <c r="N16" s="3537"/>
      <c r="O16" s="1559" t="s">
        <v>1734</v>
      </c>
      <c r="Q16" s="3538">
        <v>4042504093</v>
      </c>
      <c r="R16" s="3539"/>
      <c r="S16" s="3540"/>
    </row>
    <row r="17" spans="3:19" s="305" customFormat="1" ht="11.25" customHeight="1">
      <c r="D17" s="307"/>
      <c r="E17" s="310" t="s">
        <v>1812</v>
      </c>
      <c r="H17" s="3541" t="s">
        <v>856</v>
      </c>
      <c r="K17" s="1562" t="s">
        <v>2245</v>
      </c>
      <c r="L17" s="3542">
        <v>303052119</v>
      </c>
      <c r="M17" s="3543"/>
      <c r="O17" s="1559" t="s">
        <v>1995</v>
      </c>
      <c r="Q17" s="3538">
        <v>4042731892</v>
      </c>
      <c r="R17" s="3539"/>
      <c r="S17" s="3540"/>
    </row>
    <row r="18" spans="3:19" s="305" customFormat="1" ht="11.25" customHeight="1">
      <c r="D18" s="348"/>
      <c r="E18" s="310" t="s">
        <v>4315</v>
      </c>
      <c r="H18" s="3538"/>
      <c r="I18" s="3540"/>
      <c r="J18" s="3544"/>
      <c r="K18" s="1571" t="s">
        <v>2000</v>
      </c>
      <c r="L18" s="3530" t="s">
        <v>4557</v>
      </c>
      <c r="M18" s="3531"/>
      <c r="N18" s="3531"/>
      <c r="O18" s="3531"/>
      <c r="P18" s="3531"/>
      <c r="Q18" s="3531"/>
      <c r="R18" s="3531"/>
      <c r="S18" s="3532"/>
    </row>
    <row r="19" spans="3:19" ht="4.3499999999999996" customHeight="1">
      <c r="D19" s="333"/>
      <c r="H19" s="3545"/>
      <c r="I19" s="3545"/>
      <c r="J19" s="3545"/>
      <c r="K19" s="1571"/>
      <c r="L19" s="3545"/>
      <c r="M19" s="3545"/>
      <c r="N19" s="1558"/>
      <c r="O19" s="1613"/>
      <c r="P19" s="1613"/>
      <c r="Q19" s="1571"/>
      <c r="R19" s="1613"/>
      <c r="S19" s="1613"/>
    </row>
    <row r="20" spans="3:19" s="305" customFormat="1" ht="11.25" customHeight="1">
      <c r="D20" s="307" t="s">
        <v>2133</v>
      </c>
      <c r="E20" s="305" t="s">
        <v>1871</v>
      </c>
      <c r="F20" s="1570"/>
      <c r="H20" s="3535"/>
      <c r="I20" s="3536"/>
      <c r="J20" s="3536"/>
      <c r="K20" s="3536"/>
      <c r="L20" s="3536"/>
      <c r="M20" s="3536"/>
      <c r="N20" s="3537"/>
      <c r="O20" s="1559" t="s">
        <v>2005</v>
      </c>
      <c r="P20" s="1559"/>
      <c r="Q20" s="3535"/>
      <c r="R20" s="3536"/>
      <c r="S20" s="3537"/>
    </row>
    <row r="21" spans="3:19" s="305" customFormat="1" ht="11.25" customHeight="1">
      <c r="D21" s="348"/>
      <c r="E21" s="310" t="s">
        <v>1031</v>
      </c>
      <c r="F21" s="318"/>
      <c r="H21" s="3535"/>
      <c r="I21" s="3536"/>
      <c r="J21" s="3536"/>
      <c r="K21" s="3536"/>
      <c r="L21" s="3536"/>
      <c r="M21" s="3536"/>
      <c r="N21" s="3537"/>
      <c r="O21" s="1559" t="s">
        <v>1760</v>
      </c>
      <c r="Q21" s="3535"/>
      <c r="R21" s="3536"/>
      <c r="S21" s="3537"/>
    </row>
    <row r="22" spans="3:19" s="305" customFormat="1" ht="11.25" customHeight="1">
      <c r="D22" s="348"/>
      <c r="E22" s="310" t="s">
        <v>624</v>
      </c>
      <c r="H22" s="3535"/>
      <c r="I22" s="3536"/>
      <c r="J22" s="3537"/>
      <c r="K22" s="1561" t="s">
        <v>2723</v>
      </c>
      <c r="L22" s="3535"/>
      <c r="M22" s="3536"/>
      <c r="N22" s="3537"/>
      <c r="O22" s="1559" t="s">
        <v>1734</v>
      </c>
      <c r="Q22" s="3538"/>
      <c r="R22" s="3539"/>
      <c r="S22" s="3540"/>
    </row>
    <row r="23" spans="3:19" s="305" customFormat="1" ht="11.25" customHeight="1">
      <c r="E23" s="310" t="s">
        <v>1812</v>
      </c>
      <c r="H23" s="3541"/>
      <c r="K23" s="1562" t="s">
        <v>2245</v>
      </c>
      <c r="L23" s="3542"/>
      <c r="M23" s="3543"/>
      <c r="O23" s="1559" t="s">
        <v>1995</v>
      </c>
      <c r="Q23" s="3538"/>
      <c r="R23" s="3539"/>
      <c r="S23" s="3540"/>
    </row>
    <row r="24" spans="3:19" s="305" customFormat="1" ht="11.25" customHeight="1">
      <c r="D24" s="348"/>
      <c r="E24" s="310" t="s">
        <v>4315</v>
      </c>
      <c r="H24" s="3538"/>
      <c r="I24" s="3540"/>
      <c r="J24" s="3544"/>
      <c r="K24" s="1571" t="s">
        <v>2000</v>
      </c>
      <c r="L24" s="3530"/>
      <c r="M24" s="3531"/>
      <c r="N24" s="3531"/>
      <c r="O24" s="3531"/>
      <c r="P24" s="3531"/>
      <c r="Q24" s="3531"/>
      <c r="R24" s="3531"/>
      <c r="S24" s="3532"/>
    </row>
    <row r="25" spans="3:19" s="305" customFormat="1" ht="4.3499999999999996" customHeight="1">
      <c r="D25" s="348"/>
      <c r="E25" s="1570"/>
      <c r="F25" s="1570"/>
      <c r="G25" s="1559"/>
      <c r="H25" s="3545"/>
      <c r="I25" s="3545"/>
      <c r="J25" s="3545"/>
      <c r="K25" s="1571"/>
      <c r="L25" s="3545"/>
      <c r="M25" s="3545"/>
      <c r="N25" s="1558"/>
      <c r="O25" s="1613"/>
      <c r="P25" s="1613"/>
      <c r="Q25" s="1571"/>
      <c r="R25" s="1613"/>
      <c r="S25" s="1613"/>
    </row>
    <row r="26" spans="3:19" s="305" customFormat="1" ht="11.25" customHeight="1">
      <c r="D26" s="307" t="s">
        <v>1747</v>
      </c>
      <c r="E26" s="305" t="s">
        <v>1871</v>
      </c>
      <c r="F26" s="1570"/>
      <c r="H26" s="3535"/>
      <c r="I26" s="3536"/>
      <c r="J26" s="3536"/>
      <c r="K26" s="3536"/>
      <c r="L26" s="3536"/>
      <c r="M26" s="3536"/>
      <c r="N26" s="3537"/>
      <c r="O26" s="1559" t="s">
        <v>2005</v>
      </c>
      <c r="P26" s="1559"/>
      <c r="Q26" s="3535"/>
      <c r="R26" s="3536"/>
      <c r="S26" s="3537"/>
    </row>
    <row r="27" spans="3:19" s="305" customFormat="1" ht="11.25" customHeight="1">
      <c r="D27" s="348"/>
      <c r="E27" s="310" t="s">
        <v>1031</v>
      </c>
      <c r="F27" s="318"/>
      <c r="H27" s="3535"/>
      <c r="I27" s="3536"/>
      <c r="J27" s="3536"/>
      <c r="K27" s="3536"/>
      <c r="L27" s="3536"/>
      <c r="M27" s="3536"/>
      <c r="N27" s="3537"/>
      <c r="O27" s="1559" t="s">
        <v>1760</v>
      </c>
      <c r="Q27" s="3535"/>
      <c r="R27" s="3536"/>
      <c r="S27" s="3537"/>
    </row>
    <row r="28" spans="3:19" s="305" customFormat="1" ht="11.25" customHeight="1">
      <c r="D28" s="348"/>
      <c r="E28" s="310" t="s">
        <v>624</v>
      </c>
      <c r="H28" s="3535"/>
      <c r="I28" s="3536"/>
      <c r="J28" s="3537"/>
      <c r="K28" s="1561" t="s">
        <v>2723</v>
      </c>
      <c r="L28" s="3535"/>
      <c r="M28" s="3536"/>
      <c r="N28" s="3537"/>
      <c r="O28" s="1559" t="s">
        <v>1734</v>
      </c>
      <c r="Q28" s="3538"/>
      <c r="R28" s="3539"/>
      <c r="S28" s="3540"/>
    </row>
    <row r="29" spans="3:19" s="305" customFormat="1" ht="11.25" customHeight="1">
      <c r="E29" s="310" t="s">
        <v>1812</v>
      </c>
      <c r="H29" s="3541"/>
      <c r="K29" s="1562" t="s">
        <v>2245</v>
      </c>
      <c r="L29" s="3542"/>
      <c r="M29" s="3543"/>
      <c r="O29" s="1559" t="s">
        <v>1995</v>
      </c>
      <c r="Q29" s="3538"/>
      <c r="R29" s="3539"/>
      <c r="S29" s="3540"/>
    </row>
    <row r="30" spans="3:19" s="305" customFormat="1" ht="11.25" customHeight="1">
      <c r="D30" s="348"/>
      <c r="E30" s="310" t="s">
        <v>4315</v>
      </c>
      <c r="H30" s="3538"/>
      <c r="I30" s="3540"/>
      <c r="J30" s="3544"/>
      <c r="K30" s="1571" t="s">
        <v>2000</v>
      </c>
      <c r="L30" s="3530"/>
      <c r="M30" s="3531"/>
      <c r="N30" s="3531"/>
      <c r="O30" s="3531"/>
      <c r="P30" s="3531"/>
      <c r="Q30" s="3531"/>
      <c r="R30" s="3531"/>
      <c r="S30" s="3532"/>
    </row>
    <row r="31" spans="3:19" ht="4.3499999999999996" customHeight="1"/>
    <row r="32" spans="3:19" s="305" customFormat="1" ht="11.25" customHeight="1">
      <c r="C32" s="350" t="s">
        <v>2004</v>
      </c>
      <c r="D32" s="347" t="s">
        <v>1873</v>
      </c>
      <c r="H32" s="1570"/>
      <c r="I32" s="1570"/>
      <c r="J32" s="1570"/>
      <c r="K32" s="1417" t="s">
        <v>4314</v>
      </c>
      <c r="L32" s="1570"/>
      <c r="M32" s="1570"/>
    </row>
    <row r="33" spans="3:19" s="305" customFormat="1" ht="11.25" customHeight="1">
      <c r="D33" s="307" t="s">
        <v>2132</v>
      </c>
      <c r="E33" s="305" t="s">
        <v>758</v>
      </c>
      <c r="H33" s="3535" t="s">
        <v>4658</v>
      </c>
      <c r="I33" s="3536"/>
      <c r="J33" s="3536"/>
      <c r="K33" s="3536"/>
      <c r="L33" s="3536"/>
      <c r="M33" s="3536"/>
      <c r="N33" s="3537"/>
      <c r="O33" s="1559" t="s">
        <v>2005</v>
      </c>
      <c r="P33" s="1559"/>
      <c r="Q33" s="3535" t="s">
        <v>4577</v>
      </c>
      <c r="R33" s="3536"/>
      <c r="S33" s="3537"/>
    </row>
    <row r="34" spans="3:19" s="305" customFormat="1" ht="11.25" customHeight="1">
      <c r="D34" s="348"/>
      <c r="E34" s="310" t="s">
        <v>1031</v>
      </c>
      <c r="F34" s="318"/>
      <c r="H34" s="3535"/>
      <c r="I34" s="3536"/>
      <c r="J34" s="3536"/>
      <c r="K34" s="3536"/>
      <c r="L34" s="3536"/>
      <c r="M34" s="3536"/>
      <c r="N34" s="3537"/>
      <c r="O34" s="1559" t="s">
        <v>1760</v>
      </c>
      <c r="Q34" s="3535" t="s">
        <v>4659</v>
      </c>
      <c r="R34" s="3536"/>
      <c r="S34" s="3537"/>
    </row>
    <row r="35" spans="3:19" s="305" customFormat="1" ht="11.25" customHeight="1">
      <c r="D35" s="348"/>
      <c r="E35" s="310" t="s">
        <v>624</v>
      </c>
      <c r="H35" s="3535" t="s">
        <v>1217</v>
      </c>
      <c r="I35" s="3536"/>
      <c r="J35" s="3537"/>
      <c r="K35" s="1561" t="s">
        <v>2723</v>
      </c>
      <c r="L35" s="3535" t="s">
        <v>4661</v>
      </c>
      <c r="M35" s="3536"/>
      <c r="N35" s="3537"/>
      <c r="O35" s="1559" t="s">
        <v>1734</v>
      </c>
      <c r="Q35" s="3538">
        <v>4045888775</v>
      </c>
      <c r="R35" s="3539"/>
      <c r="S35" s="3540"/>
    </row>
    <row r="36" spans="3:19" s="305" customFormat="1" ht="11.25" customHeight="1">
      <c r="E36" s="310" t="s">
        <v>1812</v>
      </c>
      <c r="H36" s="3541" t="s">
        <v>856</v>
      </c>
      <c r="K36" s="1562" t="s">
        <v>2245</v>
      </c>
      <c r="L36" s="3542"/>
      <c r="M36" s="3543"/>
      <c r="O36" s="1559" t="s">
        <v>1995</v>
      </c>
      <c r="Q36" s="3538">
        <v>7706390087</v>
      </c>
      <c r="R36" s="3539"/>
      <c r="S36" s="3540"/>
    </row>
    <row r="37" spans="3:19" s="305" customFormat="1" ht="11.25" customHeight="1">
      <c r="D37" s="348"/>
      <c r="E37" s="310" t="s">
        <v>4315</v>
      </c>
      <c r="H37" s="3538">
        <v>4045888775</v>
      </c>
      <c r="I37" s="3540"/>
      <c r="J37" s="3544"/>
      <c r="K37" s="1571" t="s">
        <v>2000</v>
      </c>
      <c r="L37" s="3530" t="s">
        <v>4660</v>
      </c>
      <c r="M37" s="3531"/>
      <c r="N37" s="3531"/>
      <c r="O37" s="3531"/>
      <c r="P37" s="3531"/>
      <c r="Q37" s="3531"/>
      <c r="R37" s="3531"/>
      <c r="S37" s="3532"/>
    </row>
    <row r="38" spans="3:19" ht="4.3499999999999996" customHeight="1">
      <c r="H38" s="3545"/>
      <c r="I38" s="3545"/>
      <c r="J38" s="3545"/>
      <c r="K38" s="1571"/>
      <c r="L38" s="3545"/>
      <c r="M38" s="3545"/>
      <c r="N38" s="1558"/>
      <c r="O38" s="1613"/>
      <c r="P38" s="1613"/>
      <c r="Q38" s="1571"/>
      <c r="R38" s="1613"/>
      <c r="S38" s="1613"/>
    </row>
    <row r="39" spans="3:19" s="305" customFormat="1" ht="11.25" customHeight="1">
      <c r="D39" s="307" t="s">
        <v>2133</v>
      </c>
      <c r="E39" s="305" t="s">
        <v>759</v>
      </c>
      <c r="F39" s="307"/>
      <c r="H39" s="3535" t="s">
        <v>4658</v>
      </c>
      <c r="I39" s="3536"/>
      <c r="J39" s="3536"/>
      <c r="K39" s="3536"/>
      <c r="L39" s="3536"/>
      <c r="M39" s="3536"/>
      <c r="N39" s="3537"/>
      <c r="O39" s="1559" t="s">
        <v>2005</v>
      </c>
      <c r="P39" s="1559"/>
      <c r="Q39" s="3535" t="s">
        <v>4577</v>
      </c>
      <c r="R39" s="3536"/>
      <c r="S39" s="3537"/>
    </row>
    <row r="40" spans="3:19" s="305" customFormat="1" ht="11.25" customHeight="1">
      <c r="D40" s="348"/>
      <c r="E40" s="310" t="s">
        <v>1031</v>
      </c>
      <c r="F40" s="318"/>
      <c r="H40" s="3535"/>
      <c r="I40" s="3536"/>
      <c r="J40" s="3536"/>
      <c r="K40" s="3536"/>
      <c r="L40" s="3536"/>
      <c r="M40" s="3536"/>
      <c r="N40" s="3537"/>
      <c r="O40" s="1559" t="s">
        <v>1760</v>
      </c>
      <c r="Q40" s="3535" t="s">
        <v>4659</v>
      </c>
      <c r="R40" s="3536"/>
      <c r="S40" s="3537"/>
    </row>
    <row r="41" spans="3:19" s="305" customFormat="1" ht="11.25" customHeight="1">
      <c r="D41" s="348"/>
      <c r="E41" s="310" t="s">
        <v>624</v>
      </c>
      <c r="H41" s="3535" t="s">
        <v>1217</v>
      </c>
      <c r="I41" s="3536"/>
      <c r="J41" s="3537"/>
      <c r="K41" s="1561" t="s">
        <v>2723</v>
      </c>
      <c r="L41" s="3535" t="s">
        <v>4661</v>
      </c>
      <c r="M41" s="3536"/>
      <c r="N41" s="3537"/>
      <c r="O41" s="1559" t="s">
        <v>1734</v>
      </c>
      <c r="Q41" s="3538">
        <v>4045888775</v>
      </c>
      <c r="R41" s="3539"/>
      <c r="S41" s="3540"/>
    </row>
    <row r="42" spans="3:19" s="305" customFormat="1" ht="11.25" customHeight="1">
      <c r="D42" s="307"/>
      <c r="E42" s="310" t="s">
        <v>1812</v>
      </c>
      <c r="H42" s="3541" t="s">
        <v>856</v>
      </c>
      <c r="K42" s="1562" t="s">
        <v>2245</v>
      </c>
      <c r="L42" s="3542"/>
      <c r="M42" s="3543"/>
      <c r="O42" s="1559" t="s">
        <v>1995</v>
      </c>
      <c r="Q42" s="3538">
        <v>7706390087</v>
      </c>
      <c r="R42" s="3539"/>
      <c r="S42" s="3540"/>
    </row>
    <row r="43" spans="3:19" s="305" customFormat="1" ht="11.25" customHeight="1">
      <c r="D43" s="348"/>
      <c r="E43" s="310" t="s">
        <v>4315</v>
      </c>
      <c r="H43" s="3538">
        <v>4045888775</v>
      </c>
      <c r="I43" s="3540"/>
      <c r="J43" s="3544"/>
      <c r="K43" s="1571" t="s">
        <v>2000</v>
      </c>
      <c r="L43" s="3530" t="s">
        <v>4660</v>
      </c>
      <c r="M43" s="3531"/>
      <c r="N43" s="3531"/>
      <c r="O43" s="3531"/>
      <c r="P43" s="3531"/>
      <c r="Q43" s="3531"/>
      <c r="R43" s="3531"/>
      <c r="S43" s="3532"/>
    </row>
    <row r="44" spans="3:19" s="305" customFormat="1" ht="4.3499999999999996"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4314</v>
      </c>
      <c r="L45" s="1570"/>
      <c r="M45" s="1570"/>
    </row>
    <row r="46" spans="3:19" s="305" customFormat="1" ht="11.25" customHeight="1">
      <c r="E46" s="305" t="s">
        <v>93</v>
      </c>
      <c r="H46" s="3535"/>
      <c r="I46" s="3536"/>
      <c r="J46" s="3536"/>
      <c r="K46" s="3536"/>
      <c r="L46" s="3536"/>
      <c r="M46" s="3536"/>
      <c r="N46" s="3537"/>
      <c r="O46" s="1559" t="s">
        <v>2005</v>
      </c>
      <c r="P46" s="1559"/>
      <c r="Q46" s="3535"/>
      <c r="R46" s="3536"/>
      <c r="S46" s="3537"/>
    </row>
    <row r="47" spans="3:19" s="305" customFormat="1" ht="11.25" customHeight="1">
      <c r="D47" s="348"/>
      <c r="E47" s="310" t="s">
        <v>1031</v>
      </c>
      <c r="F47" s="318"/>
      <c r="H47" s="3535"/>
      <c r="I47" s="3536"/>
      <c r="J47" s="3536"/>
      <c r="K47" s="3536"/>
      <c r="L47" s="3536"/>
      <c r="M47" s="3536"/>
      <c r="N47" s="3537"/>
      <c r="O47" s="1559" t="s">
        <v>1760</v>
      </c>
      <c r="Q47" s="3535"/>
      <c r="R47" s="3536"/>
      <c r="S47" s="3537"/>
    </row>
    <row r="48" spans="3:19" s="305" customFormat="1" ht="11.25" customHeight="1">
      <c r="D48" s="348"/>
      <c r="E48" s="310" t="s">
        <v>624</v>
      </c>
      <c r="H48" s="3535"/>
      <c r="I48" s="3536"/>
      <c r="J48" s="3537"/>
      <c r="K48" s="1561" t="s">
        <v>2723</v>
      </c>
      <c r="L48" s="3535"/>
      <c r="M48" s="3536"/>
      <c r="N48" s="3537"/>
      <c r="O48" s="1559" t="s">
        <v>1734</v>
      </c>
      <c r="Q48" s="3538"/>
      <c r="R48" s="3539"/>
      <c r="S48" s="3540"/>
    </row>
    <row r="49" spans="1:19" s="305" customFormat="1" ht="11.25" customHeight="1">
      <c r="E49" s="310" t="s">
        <v>1812</v>
      </c>
      <c r="H49" s="3541"/>
      <c r="K49" s="1562" t="s">
        <v>2245</v>
      </c>
      <c r="L49" s="3542"/>
      <c r="M49" s="3543"/>
      <c r="O49" s="1559" t="s">
        <v>1995</v>
      </c>
      <c r="Q49" s="3538"/>
      <c r="R49" s="3539"/>
      <c r="S49" s="3540"/>
    </row>
    <row r="50" spans="1:19" s="305" customFormat="1" ht="11.25" customHeight="1">
      <c r="D50" s="348"/>
      <c r="E50" s="310" t="s">
        <v>4315</v>
      </c>
      <c r="H50" s="3538"/>
      <c r="I50" s="3540"/>
      <c r="J50" s="3544"/>
      <c r="K50" s="1571" t="s">
        <v>2000</v>
      </c>
      <c r="L50" s="3530"/>
      <c r="M50" s="3531"/>
      <c r="N50" s="3531"/>
      <c r="O50" s="3531"/>
      <c r="P50" s="3531"/>
      <c r="Q50" s="3531"/>
      <c r="R50" s="3531"/>
      <c r="S50" s="3532"/>
    </row>
    <row r="51" spans="1:19" ht="6.75" customHeight="1"/>
    <row r="52" spans="1:19" s="305" customFormat="1" ht="13.35" customHeight="1">
      <c r="A52" s="307" t="s">
        <v>748</v>
      </c>
      <c r="B52" s="307" t="s">
        <v>658</v>
      </c>
      <c r="F52" s="307"/>
      <c r="G52" s="1571"/>
      <c r="H52" s="1571"/>
      <c r="I52" s="1571"/>
      <c r="J52" s="1570"/>
      <c r="K52" s="1417" t="s">
        <v>4314</v>
      </c>
      <c r="L52" s="1570"/>
      <c r="M52" s="1570"/>
      <c r="N52" s="1570"/>
      <c r="O52" s="1570"/>
      <c r="P52" s="1570"/>
      <c r="Q52" s="1570"/>
      <c r="R52" s="1570"/>
      <c r="S52" s="1570"/>
    </row>
    <row r="53" spans="1:19" s="305" customFormat="1" ht="3" customHeight="1">
      <c r="A53" s="307"/>
      <c r="B53" s="307"/>
      <c r="F53" s="307"/>
      <c r="G53" s="1571"/>
      <c r="H53" s="3546"/>
      <c r="I53" s="3546"/>
      <c r="J53" s="3546"/>
      <c r="K53" s="1558"/>
      <c r="L53" s="3546"/>
      <c r="M53" s="3546"/>
      <c r="N53" s="1558"/>
      <c r="O53" s="1613"/>
      <c r="P53" s="1613"/>
      <c r="Q53" s="1571"/>
      <c r="R53" s="1613"/>
      <c r="S53" s="1613"/>
    </row>
    <row r="54" spans="1:19" s="305" customFormat="1" ht="11.25" customHeight="1">
      <c r="B54" s="307" t="s">
        <v>1999</v>
      </c>
      <c r="C54" s="307" t="s">
        <v>284</v>
      </c>
      <c r="H54" s="3535" t="s">
        <v>4555</v>
      </c>
      <c r="I54" s="3536"/>
      <c r="J54" s="3536"/>
      <c r="K54" s="3536"/>
      <c r="L54" s="3536"/>
      <c r="M54" s="3536"/>
      <c r="N54" s="3537"/>
      <c r="O54" s="1559" t="s">
        <v>2005</v>
      </c>
      <c r="P54" s="1559"/>
      <c r="Q54" s="3535" t="s">
        <v>4554</v>
      </c>
      <c r="R54" s="3536"/>
      <c r="S54" s="3537"/>
    </row>
    <row r="55" spans="1:19" s="305" customFormat="1" ht="11.25" customHeight="1">
      <c r="D55" s="348"/>
      <c r="E55" s="310" t="s">
        <v>1031</v>
      </c>
      <c r="F55" s="318"/>
      <c r="H55" s="3535" t="s">
        <v>4560</v>
      </c>
      <c r="I55" s="3536"/>
      <c r="J55" s="3536"/>
      <c r="K55" s="3536"/>
      <c r="L55" s="3536"/>
      <c r="M55" s="3536"/>
      <c r="N55" s="3537"/>
      <c r="O55" s="1559" t="s">
        <v>1760</v>
      </c>
      <c r="Q55" s="3535" t="s">
        <v>4573</v>
      </c>
      <c r="R55" s="3536"/>
      <c r="S55" s="3537"/>
    </row>
    <row r="56" spans="1:19" s="305" customFormat="1" ht="11.25" customHeight="1">
      <c r="D56" s="348"/>
      <c r="E56" s="310" t="s">
        <v>624</v>
      </c>
      <c r="H56" s="3535" t="s">
        <v>1217</v>
      </c>
      <c r="I56" s="3536"/>
      <c r="J56" s="3537"/>
      <c r="K56" s="1561" t="s">
        <v>2723</v>
      </c>
      <c r="L56" s="3535" t="s">
        <v>4576</v>
      </c>
      <c r="M56" s="3536"/>
      <c r="N56" s="3537"/>
      <c r="O56" s="1559" t="s">
        <v>1734</v>
      </c>
      <c r="Q56" s="3538"/>
      <c r="R56" s="3539"/>
      <c r="S56" s="3540"/>
    </row>
    <row r="57" spans="1:19" s="305" customFormat="1" ht="11.25" customHeight="1">
      <c r="E57" s="310" t="s">
        <v>1812</v>
      </c>
      <c r="H57" s="3541" t="s">
        <v>856</v>
      </c>
      <c r="K57" s="1562" t="s">
        <v>2245</v>
      </c>
      <c r="L57" s="3542">
        <v>303052119</v>
      </c>
      <c r="M57" s="3543"/>
      <c r="O57" s="1559" t="s">
        <v>1995</v>
      </c>
      <c r="Q57" s="3538">
        <v>4042731892</v>
      </c>
      <c r="R57" s="3539"/>
      <c r="S57" s="3540"/>
    </row>
    <row r="58" spans="1:19" s="305" customFormat="1" ht="11.25" customHeight="1">
      <c r="D58" s="348"/>
      <c r="E58" s="310" t="s">
        <v>4315</v>
      </c>
      <c r="H58" s="3538">
        <v>4042504093</v>
      </c>
      <c r="I58" s="3540"/>
      <c r="J58" s="3544">
        <v>703</v>
      </c>
      <c r="K58" s="1571" t="s">
        <v>2000</v>
      </c>
      <c r="L58" s="3530" t="s">
        <v>4557</v>
      </c>
      <c r="M58" s="3531"/>
      <c r="N58" s="3531"/>
      <c r="O58" s="3531"/>
      <c r="P58" s="3531"/>
      <c r="Q58" s="3531"/>
      <c r="R58" s="3531"/>
      <c r="S58" s="3532"/>
    </row>
    <row r="59" spans="1:19" s="305" customFormat="1" ht="6.6" customHeight="1">
      <c r="D59" s="348"/>
      <c r="E59" s="1570"/>
      <c r="F59" s="1570"/>
      <c r="G59" s="1559"/>
      <c r="H59" s="3545"/>
      <c r="I59" s="3545"/>
      <c r="J59" s="3545"/>
      <c r="K59" s="1571"/>
      <c r="L59" s="3545"/>
      <c r="M59" s="3545"/>
      <c r="N59" s="1558"/>
      <c r="O59" s="1613"/>
      <c r="P59" s="1613"/>
      <c r="Q59" s="1571"/>
      <c r="R59" s="1613"/>
      <c r="S59" s="1613"/>
    </row>
    <row r="60" spans="1:19" s="305" customFormat="1" ht="11.25" customHeight="1">
      <c r="B60" s="307" t="s">
        <v>2001</v>
      </c>
      <c r="C60" s="307" t="s">
        <v>285</v>
      </c>
      <c r="H60" s="3535" t="s">
        <v>4578</v>
      </c>
      <c r="I60" s="3536"/>
      <c r="J60" s="3536"/>
      <c r="K60" s="3536"/>
      <c r="L60" s="3536"/>
      <c r="M60" s="3536"/>
      <c r="N60" s="3537"/>
      <c r="O60" s="1559" t="s">
        <v>2005</v>
      </c>
      <c r="P60" s="1559"/>
      <c r="Q60" s="3535" t="s">
        <v>4558</v>
      </c>
      <c r="R60" s="3536"/>
      <c r="S60" s="3537"/>
    </row>
    <row r="61" spans="1:19" s="305" customFormat="1" ht="11.25" customHeight="1">
      <c r="D61" s="348"/>
      <c r="E61" s="310" t="s">
        <v>1031</v>
      </c>
      <c r="F61" s="318"/>
      <c r="H61" s="3535" t="s">
        <v>4579</v>
      </c>
      <c r="I61" s="3536"/>
      <c r="J61" s="3536"/>
      <c r="K61" s="3536"/>
      <c r="L61" s="3536"/>
      <c r="M61" s="3536"/>
      <c r="N61" s="3537"/>
      <c r="O61" s="1559" t="s">
        <v>1760</v>
      </c>
      <c r="Q61" s="3535" t="s">
        <v>4573</v>
      </c>
      <c r="R61" s="3536"/>
      <c r="S61" s="3537"/>
    </row>
    <row r="62" spans="1:19" s="305" customFormat="1" ht="11.25" customHeight="1">
      <c r="D62" s="348"/>
      <c r="E62" s="310" t="s">
        <v>624</v>
      </c>
      <c r="H62" s="3535" t="s">
        <v>2355</v>
      </c>
      <c r="I62" s="3536"/>
      <c r="J62" s="3537"/>
      <c r="K62" s="1561" t="s">
        <v>2723</v>
      </c>
      <c r="L62" s="3535"/>
      <c r="M62" s="3536"/>
      <c r="N62" s="3537"/>
      <c r="O62" s="1559" t="s">
        <v>1734</v>
      </c>
      <c r="Q62" s="3538"/>
      <c r="R62" s="3539"/>
      <c r="S62" s="3540"/>
    </row>
    <row r="63" spans="1:19" s="305" customFormat="1" ht="11.25" customHeight="1">
      <c r="E63" s="310" t="s">
        <v>1812</v>
      </c>
      <c r="H63" s="3541" t="s">
        <v>856</v>
      </c>
      <c r="K63" s="1562" t="s">
        <v>2245</v>
      </c>
      <c r="L63" s="3542">
        <v>300474264</v>
      </c>
      <c r="M63" s="3543"/>
      <c r="O63" s="1559" t="s">
        <v>1995</v>
      </c>
      <c r="Q63" s="3538">
        <v>4042504093</v>
      </c>
      <c r="R63" s="3539"/>
      <c r="S63" s="3540"/>
    </row>
    <row r="64" spans="1:19" s="305" customFormat="1" ht="11.25" customHeight="1">
      <c r="D64" s="348"/>
      <c r="E64" s="310" t="s">
        <v>4315</v>
      </c>
      <c r="H64" s="3538">
        <v>4044066697</v>
      </c>
      <c r="I64" s="3540"/>
      <c r="J64" s="3544"/>
      <c r="K64" s="1571" t="s">
        <v>2000</v>
      </c>
      <c r="L64" s="3530" t="s">
        <v>4580</v>
      </c>
      <c r="M64" s="3531"/>
      <c r="N64" s="3531"/>
      <c r="O64" s="3531"/>
      <c r="P64" s="3531"/>
      <c r="Q64" s="3531"/>
      <c r="R64" s="3531"/>
      <c r="S64" s="3532"/>
    </row>
    <row r="65" spans="1:19" s="305" customFormat="1" ht="6.6" customHeight="1">
      <c r="D65" s="348"/>
      <c r="E65" s="1570"/>
      <c r="F65" s="1570"/>
      <c r="G65" s="1559"/>
      <c r="H65" s="3545"/>
      <c r="I65" s="3545"/>
      <c r="J65" s="3545"/>
      <c r="K65" s="1571"/>
      <c r="L65" s="3545"/>
      <c r="M65" s="3545"/>
      <c r="N65" s="1558"/>
      <c r="O65" s="1613"/>
      <c r="P65" s="1613"/>
      <c r="Q65" s="1571"/>
      <c r="R65" s="1613"/>
      <c r="S65" s="1613"/>
    </row>
    <row r="66" spans="1:19" s="305" customFormat="1" ht="11.25" customHeight="1">
      <c r="B66" s="307" t="s">
        <v>757</v>
      </c>
      <c r="C66" s="307" t="s">
        <v>1540</v>
      </c>
      <c r="H66" s="3535"/>
      <c r="I66" s="3536"/>
      <c r="J66" s="3536"/>
      <c r="K66" s="3536"/>
      <c r="L66" s="3536"/>
      <c r="M66" s="3536"/>
      <c r="N66" s="3537"/>
      <c r="O66" s="1559" t="s">
        <v>2005</v>
      </c>
      <c r="P66" s="1559"/>
      <c r="Q66" s="3535"/>
      <c r="R66" s="3536"/>
      <c r="S66" s="3537"/>
    </row>
    <row r="67" spans="1:19" s="305" customFormat="1" ht="11.25" customHeight="1">
      <c r="D67" s="348"/>
      <c r="E67" s="310" t="s">
        <v>1031</v>
      </c>
      <c r="F67" s="318"/>
      <c r="H67" s="3535"/>
      <c r="I67" s="3536"/>
      <c r="J67" s="3536"/>
      <c r="K67" s="3536"/>
      <c r="L67" s="3536"/>
      <c r="M67" s="3536"/>
      <c r="N67" s="3537"/>
      <c r="O67" s="1559" t="s">
        <v>1760</v>
      </c>
      <c r="Q67" s="3535"/>
      <c r="R67" s="3536"/>
      <c r="S67" s="3537"/>
    </row>
    <row r="68" spans="1:19" s="305" customFormat="1" ht="11.25" customHeight="1">
      <c r="D68" s="348"/>
      <c r="E68" s="310" t="s">
        <v>624</v>
      </c>
      <c r="H68" s="3535"/>
      <c r="I68" s="3536"/>
      <c r="J68" s="3537"/>
      <c r="K68" s="1561" t="s">
        <v>2723</v>
      </c>
      <c r="L68" s="3535"/>
      <c r="M68" s="3536"/>
      <c r="N68" s="3537"/>
      <c r="O68" s="1559" t="s">
        <v>1734</v>
      </c>
      <c r="Q68" s="3538"/>
      <c r="R68" s="3539"/>
      <c r="S68" s="3540"/>
    </row>
    <row r="69" spans="1:19" s="305" customFormat="1" ht="11.25" customHeight="1">
      <c r="E69" s="310" t="s">
        <v>1812</v>
      </c>
      <c r="H69" s="3541"/>
      <c r="K69" s="1562" t="s">
        <v>2245</v>
      </c>
      <c r="L69" s="3542"/>
      <c r="M69" s="3543"/>
      <c r="O69" s="1559" t="s">
        <v>1995</v>
      </c>
      <c r="Q69" s="3538"/>
      <c r="R69" s="3539"/>
      <c r="S69" s="3540"/>
    </row>
    <row r="70" spans="1:19" s="305" customFormat="1" ht="11.25" customHeight="1">
      <c r="D70" s="348"/>
      <c r="E70" s="310" t="s">
        <v>4315</v>
      </c>
      <c r="H70" s="3538"/>
      <c r="I70" s="3540"/>
      <c r="J70" s="3544"/>
      <c r="K70" s="1571" t="s">
        <v>2000</v>
      </c>
      <c r="L70" s="3530"/>
      <c r="M70" s="3531"/>
      <c r="N70" s="3531"/>
      <c r="O70" s="3531"/>
      <c r="P70" s="3531"/>
      <c r="Q70" s="3531"/>
      <c r="R70" s="3531"/>
      <c r="S70" s="3532"/>
    </row>
    <row r="71" spans="1:19" ht="6.6" customHeight="1">
      <c r="H71" s="3545"/>
      <c r="I71" s="3545"/>
      <c r="J71" s="3545"/>
      <c r="K71" s="1571"/>
      <c r="L71" s="3545"/>
      <c r="M71" s="3545"/>
      <c r="N71" s="1558"/>
      <c r="O71" s="1613"/>
      <c r="P71" s="1613"/>
      <c r="Q71" s="1571"/>
      <c r="R71" s="1613"/>
      <c r="S71" s="1613"/>
    </row>
    <row r="72" spans="1:19" s="305" customFormat="1" ht="11.25" customHeight="1">
      <c r="B72" s="307" t="s">
        <v>2131</v>
      </c>
      <c r="C72" s="307" t="s">
        <v>286</v>
      </c>
      <c r="H72" s="3535"/>
      <c r="I72" s="3536"/>
      <c r="J72" s="3536"/>
      <c r="K72" s="3536"/>
      <c r="L72" s="3536"/>
      <c r="M72" s="3536"/>
      <c r="N72" s="3537"/>
      <c r="O72" s="1559" t="s">
        <v>2005</v>
      </c>
      <c r="P72" s="1559"/>
      <c r="Q72" s="3535"/>
      <c r="R72" s="3536"/>
      <c r="S72" s="3537"/>
    </row>
    <row r="73" spans="1:19" s="305" customFormat="1" ht="11.25" customHeight="1">
      <c r="D73" s="348"/>
      <c r="E73" s="310" t="s">
        <v>1031</v>
      </c>
      <c r="F73" s="318"/>
      <c r="H73" s="3535"/>
      <c r="I73" s="3536"/>
      <c r="J73" s="3536"/>
      <c r="K73" s="3536"/>
      <c r="L73" s="3536"/>
      <c r="M73" s="3536"/>
      <c r="N73" s="3537"/>
      <c r="O73" s="1559" t="s">
        <v>1760</v>
      </c>
      <c r="Q73" s="3535"/>
      <c r="R73" s="3536"/>
      <c r="S73" s="3537"/>
    </row>
    <row r="74" spans="1:19" s="305" customFormat="1" ht="11.25" customHeight="1">
      <c r="D74" s="348"/>
      <c r="E74" s="310" t="s">
        <v>624</v>
      </c>
      <c r="H74" s="3535"/>
      <c r="I74" s="3536"/>
      <c r="J74" s="3537"/>
      <c r="K74" s="1561" t="s">
        <v>2723</v>
      </c>
      <c r="L74" s="3535"/>
      <c r="M74" s="3536"/>
      <c r="N74" s="3537"/>
      <c r="O74" s="1559" t="s">
        <v>1734</v>
      </c>
      <c r="Q74" s="3538"/>
      <c r="R74" s="3539"/>
      <c r="S74" s="3540"/>
    </row>
    <row r="75" spans="1:19" s="305" customFormat="1" ht="11.25" customHeight="1">
      <c r="E75" s="310" t="s">
        <v>1812</v>
      </c>
      <c r="H75" s="3541"/>
      <c r="K75" s="1562" t="s">
        <v>2245</v>
      </c>
      <c r="L75" s="3542"/>
      <c r="M75" s="3543"/>
      <c r="O75" s="1559" t="s">
        <v>1995</v>
      </c>
      <c r="Q75" s="3538"/>
      <c r="R75" s="3539"/>
      <c r="S75" s="3540"/>
    </row>
    <row r="76" spans="1:19" s="305" customFormat="1" ht="11.25" customHeight="1">
      <c r="D76" s="348"/>
      <c r="E76" s="310" t="s">
        <v>4315</v>
      </c>
      <c r="H76" s="3538"/>
      <c r="I76" s="3540"/>
      <c r="J76" s="3544"/>
      <c r="K76" s="1571" t="s">
        <v>2000</v>
      </c>
      <c r="L76" s="3530"/>
      <c r="M76" s="3531"/>
      <c r="N76" s="3531"/>
      <c r="O76" s="3531"/>
      <c r="P76" s="3531"/>
      <c r="Q76" s="3531"/>
      <c r="R76" s="3531"/>
      <c r="S76" s="3532"/>
    </row>
    <row r="77" spans="1:19" ht="6.75" customHeight="1"/>
    <row r="78" spans="1:19" s="310" customFormat="1" ht="13.35" customHeight="1">
      <c r="A78" s="311" t="s">
        <v>750</v>
      </c>
      <c r="B78" s="311" t="s">
        <v>287</v>
      </c>
      <c r="D78" s="311"/>
      <c r="E78" s="1559"/>
      <c r="F78" s="277"/>
      <c r="G78" s="277"/>
      <c r="H78" s="277"/>
      <c r="I78" s="277"/>
      <c r="J78" s="277"/>
      <c r="K78" s="1417" t="s">
        <v>4314</v>
      </c>
      <c r="L78" s="277"/>
      <c r="M78" s="277"/>
    </row>
    <row r="79" spans="1:19" s="310" customFormat="1" ht="3" customHeight="1">
      <c r="A79" s="311"/>
      <c r="B79" s="311"/>
      <c r="D79" s="311"/>
      <c r="E79" s="1559"/>
      <c r="F79" s="277"/>
      <c r="G79" s="277"/>
      <c r="H79" s="3546"/>
      <c r="I79" s="3546"/>
      <c r="J79" s="3546"/>
      <c r="K79" s="1558"/>
      <c r="L79" s="3546"/>
      <c r="M79" s="3546"/>
      <c r="N79" s="1558"/>
      <c r="O79" s="1613"/>
      <c r="P79" s="1613"/>
      <c r="Q79" s="1571"/>
      <c r="R79" s="1613"/>
      <c r="S79" s="1613"/>
    </row>
    <row r="80" spans="1:19" s="305" customFormat="1" ht="11.25" customHeight="1">
      <c r="B80" s="307" t="s">
        <v>1999</v>
      </c>
      <c r="C80" s="307" t="s">
        <v>288</v>
      </c>
      <c r="H80" s="3535"/>
      <c r="I80" s="3536"/>
      <c r="J80" s="3536"/>
      <c r="K80" s="3536"/>
      <c r="L80" s="3536"/>
      <c r="M80" s="3536"/>
      <c r="N80" s="3537"/>
      <c r="O80" s="1559" t="s">
        <v>2005</v>
      </c>
      <c r="P80" s="1559"/>
      <c r="Q80" s="3535"/>
      <c r="R80" s="3536"/>
      <c r="S80" s="3537"/>
    </row>
    <row r="81" spans="2:19" s="305" customFormat="1" ht="11.25" customHeight="1">
      <c r="D81" s="348"/>
      <c r="E81" s="310" t="s">
        <v>1031</v>
      </c>
      <c r="F81" s="318"/>
      <c r="H81" s="3535"/>
      <c r="I81" s="3536"/>
      <c r="J81" s="3536"/>
      <c r="K81" s="3536"/>
      <c r="L81" s="3536"/>
      <c r="M81" s="3536"/>
      <c r="N81" s="3537"/>
      <c r="O81" s="1559" t="s">
        <v>1760</v>
      </c>
      <c r="Q81" s="3535"/>
      <c r="R81" s="3536"/>
      <c r="S81" s="3537"/>
    </row>
    <row r="82" spans="2:19" s="305" customFormat="1" ht="11.25" customHeight="1">
      <c r="D82" s="348"/>
      <c r="E82" s="310" t="s">
        <v>624</v>
      </c>
      <c r="H82" s="3535"/>
      <c r="I82" s="3536"/>
      <c r="J82" s="3537"/>
      <c r="K82" s="1561" t="s">
        <v>2723</v>
      </c>
      <c r="L82" s="3535"/>
      <c r="M82" s="3536"/>
      <c r="N82" s="3537"/>
      <c r="O82" s="1559" t="s">
        <v>1734</v>
      </c>
      <c r="Q82" s="3538"/>
      <c r="R82" s="3539"/>
      <c r="S82" s="3540"/>
    </row>
    <row r="83" spans="2:19" s="305" customFormat="1" ht="11.25" customHeight="1">
      <c r="E83" s="310" t="s">
        <v>1812</v>
      </c>
      <c r="H83" s="3541"/>
      <c r="K83" s="1562" t="s">
        <v>2245</v>
      </c>
      <c r="L83" s="3542"/>
      <c r="M83" s="3543"/>
      <c r="O83" s="1559" t="s">
        <v>1995</v>
      </c>
      <c r="Q83" s="3538"/>
      <c r="R83" s="3539"/>
      <c r="S83" s="3540"/>
    </row>
    <row r="84" spans="2:19" s="305" customFormat="1" ht="11.25" customHeight="1">
      <c r="D84" s="348"/>
      <c r="E84" s="310" t="s">
        <v>4315</v>
      </c>
      <c r="H84" s="3538"/>
      <c r="I84" s="3540"/>
      <c r="J84" s="3544"/>
      <c r="K84" s="1571" t="s">
        <v>2000</v>
      </c>
      <c r="L84" s="3530"/>
      <c r="M84" s="3531"/>
      <c r="N84" s="3531"/>
      <c r="O84" s="3531"/>
      <c r="P84" s="3531"/>
      <c r="Q84" s="3531"/>
      <c r="R84" s="3531"/>
      <c r="S84" s="3532"/>
    </row>
    <row r="85" spans="2:19" ht="6.6" customHeight="1">
      <c r="H85" s="3545"/>
      <c r="I85" s="3545"/>
      <c r="J85" s="3545"/>
      <c r="K85" s="1571"/>
      <c r="L85" s="3545"/>
      <c r="M85" s="3545"/>
      <c r="N85" s="1558"/>
      <c r="O85" s="1613"/>
      <c r="P85" s="1613"/>
      <c r="Q85" s="1571"/>
      <c r="R85" s="1613"/>
      <c r="S85" s="1613"/>
    </row>
    <row r="86" spans="2:19" s="305" customFormat="1" ht="11.25" customHeight="1">
      <c r="B86" s="307" t="s">
        <v>2001</v>
      </c>
      <c r="C86" s="307" t="s">
        <v>289</v>
      </c>
      <c r="H86" s="3535" t="s">
        <v>4581</v>
      </c>
      <c r="I86" s="3536"/>
      <c r="J86" s="3536"/>
      <c r="K86" s="3536"/>
      <c r="L86" s="3536"/>
      <c r="M86" s="3536"/>
      <c r="N86" s="3537"/>
      <c r="O86" s="1559" t="s">
        <v>2005</v>
      </c>
      <c r="P86" s="1559"/>
      <c r="Q86" s="3535" t="s">
        <v>4585</v>
      </c>
      <c r="R86" s="3536"/>
      <c r="S86" s="3537"/>
    </row>
    <row r="87" spans="2:19" s="305" customFormat="1" ht="11.25" customHeight="1">
      <c r="D87" s="348"/>
      <c r="E87" s="310" t="s">
        <v>1031</v>
      </c>
      <c r="F87" s="318"/>
      <c r="H87" s="3535" t="s">
        <v>4582</v>
      </c>
      <c r="I87" s="3536"/>
      <c r="J87" s="3536"/>
      <c r="K87" s="3536"/>
      <c r="L87" s="3536"/>
      <c r="M87" s="3536"/>
      <c r="N87" s="3537"/>
      <c r="O87" s="1559" t="s">
        <v>1760</v>
      </c>
      <c r="Q87" s="3535" t="s">
        <v>4573</v>
      </c>
      <c r="R87" s="3536"/>
      <c r="S87" s="3537"/>
    </row>
    <row r="88" spans="2:19" s="305" customFormat="1" ht="11.25" customHeight="1">
      <c r="D88" s="348"/>
      <c r="E88" s="310" t="s">
        <v>624</v>
      </c>
      <c r="H88" s="3535" t="s">
        <v>1709</v>
      </c>
      <c r="I88" s="3536"/>
      <c r="J88" s="3537"/>
      <c r="K88" s="1561" t="s">
        <v>2723</v>
      </c>
      <c r="L88" s="3535" t="s">
        <v>4583</v>
      </c>
      <c r="M88" s="3536"/>
      <c r="N88" s="3537"/>
      <c r="O88" s="1559" t="s">
        <v>1734</v>
      </c>
      <c r="Q88" s="3538">
        <v>2295619997</v>
      </c>
      <c r="R88" s="3539"/>
      <c r="S88" s="3540"/>
    </row>
    <row r="89" spans="2:19" s="305" customFormat="1" ht="11.25" customHeight="1">
      <c r="E89" s="310" t="s">
        <v>1812</v>
      </c>
      <c r="H89" s="3541" t="s">
        <v>856</v>
      </c>
      <c r="K89" s="1562" t="s">
        <v>2245</v>
      </c>
      <c r="L89" s="3542">
        <v>316022135</v>
      </c>
      <c r="M89" s="3543"/>
      <c r="O89" s="1559" t="s">
        <v>1995</v>
      </c>
      <c r="Q89" s="3538">
        <v>2295619997</v>
      </c>
      <c r="R89" s="3539"/>
      <c r="S89" s="3540"/>
    </row>
    <row r="90" spans="2:19" s="305" customFormat="1" ht="11.25" customHeight="1">
      <c r="D90" s="348"/>
      <c r="E90" s="310" t="s">
        <v>4315</v>
      </c>
      <c r="H90" s="3538">
        <v>2295066876</v>
      </c>
      <c r="I90" s="3540"/>
      <c r="J90" s="3544"/>
      <c r="K90" s="1571" t="s">
        <v>2000</v>
      </c>
      <c r="L90" s="3530" t="s">
        <v>4584</v>
      </c>
      <c r="M90" s="3531"/>
      <c r="N90" s="3531"/>
      <c r="O90" s="3531"/>
      <c r="P90" s="3531"/>
      <c r="Q90" s="3531"/>
      <c r="R90" s="3531"/>
      <c r="S90" s="3532"/>
    </row>
    <row r="91" spans="2:19" ht="6.6" customHeight="1">
      <c r="H91" s="3545"/>
      <c r="I91" s="3545"/>
      <c r="J91" s="3545"/>
      <c r="K91" s="1571"/>
      <c r="L91" s="3545"/>
      <c r="M91" s="3545"/>
      <c r="N91" s="1558"/>
      <c r="O91" s="1613"/>
      <c r="P91" s="1613"/>
      <c r="Q91" s="1571"/>
      <c r="R91" s="1613"/>
      <c r="S91" s="1613"/>
    </row>
    <row r="92" spans="2:19" s="305" customFormat="1" ht="11.25" customHeight="1">
      <c r="B92" s="307" t="s">
        <v>757</v>
      </c>
      <c r="C92" s="307" t="s">
        <v>290</v>
      </c>
      <c r="F92" s="324"/>
      <c r="H92" s="3535" t="s">
        <v>4586</v>
      </c>
      <c r="I92" s="3536"/>
      <c r="J92" s="3536"/>
      <c r="K92" s="3536"/>
      <c r="L92" s="3536"/>
      <c r="M92" s="3536"/>
      <c r="N92" s="3537"/>
      <c r="O92" s="1559" t="s">
        <v>2005</v>
      </c>
      <c r="P92" s="1559"/>
      <c r="Q92" s="3535" t="s">
        <v>4587</v>
      </c>
      <c r="R92" s="3536"/>
      <c r="S92" s="3537"/>
    </row>
    <row r="93" spans="2:19" s="305" customFormat="1" ht="11.25" customHeight="1">
      <c r="D93" s="348"/>
      <c r="E93" s="310" t="s">
        <v>1031</v>
      </c>
      <c r="F93" s="318"/>
      <c r="H93" s="3535" t="s">
        <v>4590</v>
      </c>
      <c r="I93" s="3536"/>
      <c r="J93" s="3536"/>
      <c r="K93" s="3536"/>
      <c r="L93" s="3536"/>
      <c r="M93" s="3536"/>
      <c r="N93" s="3537"/>
      <c r="O93" s="1559" t="s">
        <v>1760</v>
      </c>
      <c r="Q93" s="3535" t="s">
        <v>4588</v>
      </c>
      <c r="R93" s="3536"/>
      <c r="S93" s="3537"/>
    </row>
    <row r="94" spans="2:19" s="305" customFormat="1" ht="11.25" customHeight="1">
      <c r="D94" s="348"/>
      <c r="E94" s="310" t="s">
        <v>624</v>
      </c>
      <c r="H94" s="3535" t="s">
        <v>2545</v>
      </c>
      <c r="I94" s="3536"/>
      <c r="J94" s="3537"/>
      <c r="K94" s="1561" t="s">
        <v>2723</v>
      </c>
      <c r="L94" s="3535" t="s">
        <v>4591</v>
      </c>
      <c r="M94" s="3536"/>
      <c r="N94" s="3537"/>
      <c r="O94" s="1559" t="s">
        <v>1734</v>
      </c>
      <c r="Q94" s="3538">
        <v>8034196556</v>
      </c>
      <c r="R94" s="3539"/>
      <c r="S94" s="3540"/>
    </row>
    <row r="95" spans="2:19" s="305" customFormat="1" ht="11.25" customHeight="1">
      <c r="D95" s="348"/>
      <c r="E95" s="310" t="s">
        <v>1812</v>
      </c>
      <c r="H95" s="3541" t="s">
        <v>1368</v>
      </c>
      <c r="K95" s="1562" t="s">
        <v>2245</v>
      </c>
      <c r="L95" s="3542">
        <v>292243589</v>
      </c>
      <c r="M95" s="3543"/>
      <c r="O95" s="1559" t="s">
        <v>1995</v>
      </c>
      <c r="Q95" s="3538">
        <v>8034229886</v>
      </c>
      <c r="R95" s="3539"/>
      <c r="S95" s="3540"/>
    </row>
    <row r="96" spans="2:19" s="305" customFormat="1" ht="11.25" customHeight="1">
      <c r="D96" s="348"/>
      <c r="E96" s="310" t="s">
        <v>4315</v>
      </c>
      <c r="H96" s="3538">
        <v>8034196556</v>
      </c>
      <c r="I96" s="3540"/>
      <c r="J96" s="3544"/>
      <c r="K96" s="1571" t="s">
        <v>2000</v>
      </c>
      <c r="L96" s="3530" t="s">
        <v>4589</v>
      </c>
      <c r="M96" s="3531"/>
      <c r="N96" s="3531"/>
      <c r="O96" s="3531"/>
      <c r="P96" s="3531"/>
      <c r="Q96" s="3531"/>
      <c r="R96" s="3531"/>
      <c r="S96" s="3532"/>
    </row>
    <row r="97" spans="2:19" ht="6.6" customHeight="1">
      <c r="H97" s="3545"/>
      <c r="I97" s="3545"/>
      <c r="J97" s="3545"/>
      <c r="K97" s="1571"/>
      <c r="L97" s="3545"/>
      <c r="M97" s="3545"/>
      <c r="N97" s="1558"/>
      <c r="O97" s="1613"/>
      <c r="P97" s="1613"/>
      <c r="Q97" s="1571"/>
      <c r="R97" s="1613"/>
      <c r="S97" s="1613"/>
    </row>
    <row r="98" spans="2:19" s="305" customFormat="1" ht="11.25" customHeight="1">
      <c r="B98" s="307" t="s">
        <v>2131</v>
      </c>
      <c r="C98" s="307" t="s">
        <v>291</v>
      </c>
      <c r="H98" s="3535" t="s">
        <v>4592</v>
      </c>
      <c r="I98" s="3536"/>
      <c r="J98" s="3536"/>
      <c r="K98" s="3536"/>
      <c r="L98" s="3536"/>
      <c r="M98" s="3536"/>
      <c r="N98" s="3537"/>
      <c r="O98" s="1559" t="s">
        <v>2005</v>
      </c>
      <c r="P98" s="1559"/>
      <c r="Q98" s="3535" t="s">
        <v>4595</v>
      </c>
      <c r="R98" s="3536"/>
      <c r="S98" s="3537"/>
    </row>
    <row r="99" spans="2:19" s="305" customFormat="1" ht="11.25" customHeight="1">
      <c r="D99" s="348"/>
      <c r="E99" s="310" t="s">
        <v>1031</v>
      </c>
      <c r="F99" s="318"/>
      <c r="H99" s="3535" t="s">
        <v>4607</v>
      </c>
      <c r="I99" s="3536"/>
      <c r="J99" s="3536"/>
      <c r="K99" s="3536"/>
      <c r="L99" s="3536"/>
      <c r="M99" s="3536"/>
      <c r="N99" s="3537"/>
      <c r="O99" s="1559" t="s">
        <v>1760</v>
      </c>
      <c r="Q99" s="3535" t="s">
        <v>4596</v>
      </c>
      <c r="R99" s="3536"/>
      <c r="S99" s="3537"/>
    </row>
    <row r="100" spans="2:19" s="305" customFormat="1" ht="11.25" customHeight="1">
      <c r="D100" s="348"/>
      <c r="E100" s="310" t="s">
        <v>624</v>
      </c>
      <c r="H100" s="3535" t="s">
        <v>1709</v>
      </c>
      <c r="I100" s="3536"/>
      <c r="J100" s="3537"/>
      <c r="K100" s="1561" t="s">
        <v>2723</v>
      </c>
      <c r="L100" s="3535" t="s">
        <v>4593</v>
      </c>
      <c r="M100" s="3536"/>
      <c r="N100" s="3537"/>
      <c r="O100" s="1559" t="s">
        <v>1734</v>
      </c>
      <c r="Q100" s="3538">
        <v>2296718260</v>
      </c>
      <c r="R100" s="3539"/>
      <c r="S100" s="3540"/>
    </row>
    <row r="101" spans="2:19" s="305" customFormat="1" ht="11.25" customHeight="1">
      <c r="D101" s="348"/>
      <c r="E101" s="310" t="s">
        <v>1812</v>
      </c>
      <c r="H101" s="3541" t="s">
        <v>856</v>
      </c>
      <c r="K101" s="1562" t="s">
        <v>2245</v>
      </c>
      <c r="L101" s="3542">
        <v>316014531</v>
      </c>
      <c r="M101" s="3543"/>
      <c r="O101" s="1559" t="s">
        <v>1995</v>
      </c>
      <c r="Q101" s="3538">
        <v>2298349704</v>
      </c>
      <c r="R101" s="3539"/>
      <c r="S101" s="3540"/>
    </row>
    <row r="102" spans="2:19" ht="11.25" customHeight="1">
      <c r="E102" s="310" t="s">
        <v>4315</v>
      </c>
      <c r="F102" s="305"/>
      <c r="G102" s="305"/>
      <c r="H102" s="3538">
        <v>2292427562</v>
      </c>
      <c r="I102" s="3540"/>
      <c r="J102" s="3544"/>
      <c r="K102" s="1571" t="s">
        <v>2000</v>
      </c>
      <c r="L102" s="3530" t="s">
        <v>4594</v>
      </c>
      <c r="M102" s="3531"/>
      <c r="N102" s="3531"/>
      <c r="O102" s="3531"/>
      <c r="P102" s="3531"/>
      <c r="Q102" s="3531"/>
      <c r="R102" s="3531"/>
      <c r="S102" s="3532"/>
    </row>
    <row r="103" spans="2:19" ht="6" customHeight="1">
      <c r="E103" s="310"/>
      <c r="F103" s="305"/>
      <c r="G103" s="1570"/>
      <c r="H103" s="3546"/>
      <c r="I103" s="3546"/>
      <c r="J103" s="3546"/>
      <c r="K103" s="1558"/>
      <c r="L103" s="3546"/>
      <c r="M103" s="3546"/>
      <c r="N103" s="1558"/>
      <c r="O103" s="1613"/>
      <c r="P103" s="1613"/>
      <c r="Q103" s="1571"/>
      <c r="R103" s="1613"/>
      <c r="S103" s="1613"/>
    </row>
    <row r="104" spans="2:19" s="305" customFormat="1" ht="11.25" customHeight="1">
      <c r="B104" s="307" t="s">
        <v>1748</v>
      </c>
      <c r="C104" s="307" t="s">
        <v>292</v>
      </c>
      <c r="H104" s="3535" t="s">
        <v>4597</v>
      </c>
      <c r="I104" s="3536"/>
      <c r="J104" s="3536"/>
      <c r="K104" s="3536"/>
      <c r="L104" s="3536"/>
      <c r="M104" s="3536"/>
      <c r="N104" s="3537"/>
      <c r="O104" s="1559" t="s">
        <v>2005</v>
      </c>
      <c r="P104" s="1559"/>
      <c r="Q104" s="3535" t="s">
        <v>4599</v>
      </c>
      <c r="R104" s="3536"/>
      <c r="S104" s="3537"/>
    </row>
    <row r="105" spans="2:19" s="305" customFormat="1" ht="11.25" customHeight="1">
      <c r="D105" s="348"/>
      <c r="E105" s="310" t="s">
        <v>1031</v>
      </c>
      <c r="F105" s="318"/>
      <c r="H105" s="3535" t="s">
        <v>4598</v>
      </c>
      <c r="I105" s="3536"/>
      <c r="J105" s="3536"/>
      <c r="K105" s="3536"/>
      <c r="L105" s="3536"/>
      <c r="M105" s="3536"/>
      <c r="N105" s="3537"/>
      <c r="O105" s="1559" t="s">
        <v>1760</v>
      </c>
      <c r="Q105" s="3535" t="s">
        <v>4596</v>
      </c>
      <c r="R105" s="3536"/>
      <c r="S105" s="3537"/>
    </row>
    <row r="106" spans="2:19" s="305" customFormat="1" ht="11.25" customHeight="1">
      <c r="D106" s="348"/>
      <c r="E106" s="310" t="s">
        <v>624</v>
      </c>
      <c r="H106" s="3535" t="s">
        <v>1217</v>
      </c>
      <c r="I106" s="3536"/>
      <c r="J106" s="3537"/>
      <c r="K106" s="1561" t="s">
        <v>2723</v>
      </c>
      <c r="L106" s="3535" t="s">
        <v>4609</v>
      </c>
      <c r="M106" s="3536"/>
      <c r="N106" s="3537"/>
      <c r="O106" s="1559" t="s">
        <v>1734</v>
      </c>
      <c r="Q106" s="3538">
        <v>4048988244</v>
      </c>
      <c r="R106" s="3539"/>
      <c r="S106" s="3540"/>
    </row>
    <row r="107" spans="2:19" s="305" customFormat="1" ht="11.25" customHeight="1">
      <c r="D107" s="348"/>
      <c r="E107" s="310" t="s">
        <v>1812</v>
      </c>
      <c r="H107" s="3541" t="s">
        <v>856</v>
      </c>
      <c r="K107" s="1562" t="s">
        <v>2245</v>
      </c>
      <c r="L107" s="3542">
        <v>303286132</v>
      </c>
      <c r="M107" s="3543"/>
      <c r="O107" s="1559" t="s">
        <v>1995</v>
      </c>
      <c r="Q107" s="3538">
        <v>6783620453</v>
      </c>
      <c r="R107" s="3539"/>
      <c r="S107" s="3540"/>
    </row>
    <row r="108" spans="2:19" ht="11.25" customHeight="1">
      <c r="E108" s="310" t="s">
        <v>4315</v>
      </c>
      <c r="F108" s="305"/>
      <c r="G108" s="305"/>
      <c r="H108" s="3538">
        <v>4048988244</v>
      </c>
      <c r="I108" s="3540"/>
      <c r="J108" s="3544"/>
      <c r="K108" s="1571" t="s">
        <v>2000</v>
      </c>
      <c r="L108" s="3530" t="s">
        <v>4608</v>
      </c>
      <c r="M108" s="3531"/>
      <c r="N108" s="3531"/>
      <c r="O108" s="3531"/>
      <c r="P108" s="3531"/>
      <c r="Q108" s="3531"/>
      <c r="R108" s="3531"/>
      <c r="S108" s="3532"/>
    </row>
    <row r="109" spans="2:19" ht="6.6" customHeight="1">
      <c r="E109" s="310"/>
      <c r="F109" s="305"/>
      <c r="G109" s="1570"/>
      <c r="H109" s="3545"/>
      <c r="I109" s="3545"/>
      <c r="J109" s="3545"/>
      <c r="K109" s="1571"/>
      <c r="L109" s="3545"/>
      <c r="M109" s="3545"/>
      <c r="N109" s="1558"/>
      <c r="O109" s="1613"/>
      <c r="P109" s="1613"/>
      <c r="Q109" s="1571"/>
      <c r="R109" s="1613"/>
      <c r="S109" s="1613"/>
    </row>
    <row r="110" spans="2:19" s="305" customFormat="1" ht="11.25" customHeight="1">
      <c r="B110" s="307" t="s">
        <v>1749</v>
      </c>
      <c r="C110" s="307" t="s">
        <v>293</v>
      </c>
      <c r="H110" s="3535" t="s">
        <v>4600</v>
      </c>
      <c r="I110" s="3536"/>
      <c r="J110" s="3536"/>
      <c r="K110" s="3536"/>
      <c r="L110" s="3536"/>
      <c r="M110" s="3536"/>
      <c r="N110" s="3537"/>
      <c r="O110" s="1559" t="s">
        <v>2005</v>
      </c>
      <c r="P110" s="1559"/>
      <c r="Q110" s="3535" t="s">
        <v>4604</v>
      </c>
      <c r="R110" s="3536"/>
      <c r="S110" s="3537"/>
    </row>
    <row r="111" spans="2:19" s="305" customFormat="1" ht="11.25" customHeight="1">
      <c r="D111" s="348"/>
      <c r="E111" s="310" t="s">
        <v>1031</v>
      </c>
      <c r="F111" s="318"/>
      <c r="H111" s="3535" t="s">
        <v>4601</v>
      </c>
      <c r="I111" s="3536"/>
      <c r="J111" s="3536"/>
      <c r="K111" s="3536"/>
      <c r="L111" s="3536"/>
      <c r="M111" s="3536"/>
      <c r="N111" s="3537"/>
      <c r="O111" s="1559" t="s">
        <v>1760</v>
      </c>
      <c r="Q111" s="3535" t="s">
        <v>4596</v>
      </c>
      <c r="R111" s="3536"/>
      <c r="S111" s="3537"/>
    </row>
    <row r="112" spans="2:19" s="305" customFormat="1" ht="11.25" customHeight="1">
      <c r="D112" s="348"/>
      <c r="E112" s="310" t="s">
        <v>624</v>
      </c>
      <c r="H112" s="3535" t="s">
        <v>198</v>
      </c>
      <c r="I112" s="3536"/>
      <c r="J112" s="3537"/>
      <c r="K112" s="1561" t="s">
        <v>2723</v>
      </c>
      <c r="L112" s="3535" t="s">
        <v>4602</v>
      </c>
      <c r="M112" s="3536"/>
      <c r="N112" s="3537"/>
      <c r="O112" s="1559" t="s">
        <v>1734</v>
      </c>
      <c r="Q112" s="3538">
        <v>4043752800</v>
      </c>
      <c r="R112" s="3539"/>
      <c r="S112" s="3540"/>
    </row>
    <row r="113" spans="1:22" s="305" customFormat="1" ht="11.25" customHeight="1">
      <c r="D113" s="352"/>
      <c r="E113" s="310" t="s">
        <v>1812</v>
      </c>
      <c r="H113" s="3541" t="s">
        <v>856</v>
      </c>
      <c r="K113" s="1562" t="s">
        <v>2245</v>
      </c>
      <c r="L113" s="3542">
        <v>300303330</v>
      </c>
      <c r="M113" s="3543"/>
      <c r="O113" s="1559" t="s">
        <v>1995</v>
      </c>
      <c r="Q113" s="3538">
        <v>4042903390</v>
      </c>
      <c r="R113" s="3539"/>
      <c r="S113" s="3540"/>
    </row>
    <row r="114" spans="1:22" s="305" customFormat="1" ht="11.25" customHeight="1">
      <c r="D114" s="352"/>
      <c r="E114" s="310" t="s">
        <v>4315</v>
      </c>
      <c r="H114" s="3538">
        <v>4043732800</v>
      </c>
      <c r="I114" s="3540"/>
      <c r="J114" s="3544"/>
      <c r="K114" s="1571" t="s">
        <v>2000</v>
      </c>
      <c r="L114" s="3530" t="s">
        <v>4603</v>
      </c>
      <c r="M114" s="3531"/>
      <c r="N114" s="3531"/>
      <c r="O114" s="3531"/>
      <c r="P114" s="3531"/>
      <c r="Q114" s="3531"/>
      <c r="R114" s="3531"/>
      <c r="S114" s="3532"/>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8"/>
      <c r="I117" s="3547"/>
      <c r="J117" s="3548"/>
      <c r="K117" s="1571" t="s">
        <v>2490</v>
      </c>
      <c r="L117" s="3535"/>
      <c r="M117" s="3536"/>
      <c r="N117" s="3537"/>
      <c r="O117" s="310" t="s">
        <v>3603</v>
      </c>
      <c r="Q117" s="3535"/>
      <c r="R117" s="3536"/>
      <c r="S117" s="3537"/>
    </row>
    <row r="118" spans="1:22" s="305" customFormat="1" ht="11.25" customHeight="1">
      <c r="D118" s="348"/>
      <c r="E118" s="310" t="s">
        <v>1031</v>
      </c>
      <c r="F118" s="318"/>
      <c r="H118" s="3535"/>
      <c r="I118" s="3536"/>
      <c r="J118" s="3536"/>
      <c r="K118" s="3536"/>
      <c r="L118" s="3536"/>
      <c r="M118" s="3536"/>
      <c r="N118" s="3537"/>
      <c r="O118" s="310" t="s">
        <v>624</v>
      </c>
      <c r="Q118" s="3535"/>
      <c r="R118" s="3536"/>
      <c r="S118" s="3537"/>
    </row>
    <row r="119" spans="1:22" s="305" customFormat="1" ht="11.25" customHeight="1">
      <c r="D119" s="348"/>
      <c r="E119" s="310" t="s">
        <v>1812</v>
      </c>
      <c r="H119" s="3541"/>
      <c r="I119" s="1562" t="s">
        <v>2245</v>
      </c>
      <c r="J119" s="3549"/>
      <c r="K119" s="3537"/>
      <c r="L119" s="1571" t="s">
        <v>2000</v>
      </c>
      <c r="M119" s="3530"/>
      <c r="N119" s="3531"/>
      <c r="O119" s="3531"/>
      <c r="P119" s="3531"/>
      <c r="Q119" s="3531"/>
      <c r="R119" s="3531"/>
      <c r="S119" s="3532"/>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3911</v>
      </c>
      <c r="B121" s="1690"/>
      <c r="C121" s="1690"/>
      <c r="D121" s="1690"/>
      <c r="E121" s="1691"/>
      <c r="F121" s="3550" t="s">
        <v>2527</v>
      </c>
      <c r="G121" s="3551" t="s">
        <v>3502</v>
      </c>
      <c r="H121" s="3552"/>
      <c r="I121" s="3552"/>
      <c r="J121" s="3552"/>
      <c r="K121" s="3552"/>
      <c r="L121" s="3552"/>
      <c r="M121" s="3552"/>
      <c r="N121" s="3552"/>
      <c r="O121" s="3552"/>
      <c r="P121" s="3552"/>
      <c r="Q121" s="3552"/>
      <c r="R121" s="3552"/>
      <c r="S121" s="3553"/>
    </row>
    <row r="122" spans="1:22" s="305" customFormat="1" ht="31.5" customHeight="1">
      <c r="B122" s="521"/>
      <c r="C122" s="1195" t="s">
        <v>2002</v>
      </c>
      <c r="D122" s="1660" t="s">
        <v>2855</v>
      </c>
      <c r="E122" s="1692"/>
      <c r="F122" s="3554" t="s">
        <v>3011</v>
      </c>
      <c r="G122" s="3046" t="s">
        <v>4605</v>
      </c>
      <c r="H122" s="3047"/>
      <c r="I122" s="3047"/>
      <c r="J122" s="3047"/>
      <c r="K122" s="3047"/>
      <c r="L122" s="3047"/>
      <c r="M122" s="3047"/>
      <c r="N122" s="3047"/>
      <c r="O122" s="3047"/>
      <c r="P122" s="3047"/>
      <c r="Q122" s="3047"/>
      <c r="R122" s="3047"/>
      <c r="S122" s="3048"/>
      <c r="U122" s="1696" t="s">
        <v>2047</v>
      </c>
      <c r="V122" s="1696"/>
    </row>
    <row r="123" spans="1:22" s="305" customFormat="1" ht="31.5" customHeight="1">
      <c r="B123" s="521"/>
      <c r="C123" s="647" t="s">
        <v>2004</v>
      </c>
      <c r="D123" s="1631" t="s">
        <v>2921</v>
      </c>
      <c r="E123" s="1689"/>
      <c r="F123" s="3555" t="s">
        <v>3014</v>
      </c>
      <c r="G123" s="3049"/>
      <c r="H123" s="3050"/>
      <c r="I123" s="3050"/>
      <c r="J123" s="3050"/>
      <c r="K123" s="3050"/>
      <c r="L123" s="3050"/>
      <c r="M123" s="3050"/>
      <c r="N123" s="3050"/>
      <c r="O123" s="3050"/>
      <c r="P123" s="3050"/>
      <c r="Q123" s="3050"/>
      <c r="R123" s="3050"/>
      <c r="S123" s="3051"/>
      <c r="U123" s="1696"/>
      <c r="V123" s="1696"/>
    </row>
    <row r="124" spans="1:22" s="305" customFormat="1" ht="31.5" customHeight="1">
      <c r="B124" s="521"/>
      <c r="C124" s="647" t="s">
        <v>2551</v>
      </c>
      <c r="D124" s="1631" t="s">
        <v>2897</v>
      </c>
      <c r="E124" s="1689"/>
      <c r="F124" s="3555" t="s">
        <v>3011</v>
      </c>
      <c r="G124" s="3049" t="s">
        <v>4606</v>
      </c>
      <c r="H124" s="3050"/>
      <c r="I124" s="3050"/>
      <c r="J124" s="3050"/>
      <c r="K124" s="3050"/>
      <c r="L124" s="3050"/>
      <c r="M124" s="3050"/>
      <c r="N124" s="3050"/>
      <c r="O124" s="3050"/>
      <c r="P124" s="3050"/>
      <c r="Q124" s="3050"/>
      <c r="R124" s="3050"/>
      <c r="S124" s="3051"/>
      <c r="U124" s="1696"/>
      <c r="V124" s="1696"/>
    </row>
    <row r="125" spans="1:22" s="305" customFormat="1" ht="31.5" customHeight="1">
      <c r="B125" s="521"/>
      <c r="C125" s="647" t="s">
        <v>1236</v>
      </c>
      <c r="D125" s="1631" t="s">
        <v>2856</v>
      </c>
      <c r="E125" s="1689"/>
      <c r="F125" s="3555" t="s">
        <v>3014</v>
      </c>
      <c r="G125" s="3049"/>
      <c r="H125" s="3050"/>
      <c r="I125" s="3050"/>
      <c r="J125" s="3050"/>
      <c r="K125" s="3050"/>
      <c r="L125" s="3050"/>
      <c r="M125" s="3050"/>
      <c r="N125" s="3050"/>
      <c r="O125" s="3050"/>
      <c r="P125" s="3050"/>
      <c r="Q125" s="3050"/>
      <c r="R125" s="3050"/>
      <c r="S125" s="3051"/>
      <c r="U125" s="1696"/>
      <c r="V125" s="1696"/>
    </row>
    <row r="126" spans="1:22" s="305" customFormat="1" ht="31.5" customHeight="1">
      <c r="B126" s="521"/>
      <c r="C126" s="647" t="s">
        <v>1237</v>
      </c>
      <c r="D126" s="1631" t="s">
        <v>3489</v>
      </c>
      <c r="E126" s="1689"/>
      <c r="F126" s="3555" t="s">
        <v>3014</v>
      </c>
      <c r="G126" s="3049"/>
      <c r="H126" s="3050"/>
      <c r="I126" s="3050"/>
      <c r="J126" s="3050"/>
      <c r="K126" s="3050"/>
      <c r="L126" s="3050"/>
      <c r="M126" s="3050"/>
      <c r="N126" s="3050"/>
      <c r="O126" s="3050"/>
      <c r="P126" s="3050"/>
      <c r="Q126" s="3050"/>
      <c r="R126" s="3050"/>
      <c r="S126" s="3051"/>
      <c r="U126" s="1696"/>
      <c r="V126" s="1696"/>
    </row>
    <row r="127" spans="1:22" s="305" customFormat="1" ht="31.5" customHeight="1">
      <c r="B127" s="521"/>
      <c r="C127" s="647" t="s">
        <v>1896</v>
      </c>
      <c r="D127" s="1631" t="s">
        <v>3490</v>
      </c>
      <c r="E127" s="1689"/>
      <c r="F127" s="3555" t="s">
        <v>3014</v>
      </c>
      <c r="G127" s="3049"/>
      <c r="H127" s="3050"/>
      <c r="I127" s="3050"/>
      <c r="J127" s="3050"/>
      <c r="K127" s="3050"/>
      <c r="L127" s="3050"/>
      <c r="M127" s="3050"/>
      <c r="N127" s="3050"/>
      <c r="O127" s="3050"/>
      <c r="P127" s="3050"/>
      <c r="Q127" s="3050"/>
      <c r="R127" s="3050"/>
      <c r="S127" s="3051"/>
      <c r="U127" s="1696"/>
      <c r="V127" s="1696"/>
    </row>
    <row r="128" spans="1:22" s="305" customFormat="1" ht="31.5" customHeight="1">
      <c r="B128" s="521"/>
      <c r="C128" s="647" t="s">
        <v>508</v>
      </c>
      <c r="D128" s="1631" t="s">
        <v>2857</v>
      </c>
      <c r="E128" s="1689"/>
      <c r="F128" s="3555" t="s">
        <v>3014</v>
      </c>
      <c r="G128" s="3049"/>
      <c r="H128" s="3050"/>
      <c r="I128" s="3050"/>
      <c r="J128" s="3050"/>
      <c r="K128" s="3050"/>
      <c r="L128" s="3050"/>
      <c r="M128" s="3050"/>
      <c r="N128" s="3050"/>
      <c r="O128" s="3050"/>
      <c r="P128" s="3050"/>
      <c r="Q128" s="3050"/>
      <c r="R128" s="3050"/>
      <c r="S128" s="3051"/>
    </row>
    <row r="129" spans="1:22" s="305" customFormat="1" ht="31.5" customHeight="1">
      <c r="B129" s="521"/>
      <c r="C129" s="647" t="s">
        <v>509</v>
      </c>
      <c r="D129" s="3556" t="s">
        <v>3910</v>
      </c>
      <c r="E129" s="3557"/>
      <c r="F129" s="3558"/>
      <c r="G129" s="3052"/>
      <c r="H129" s="3053"/>
      <c r="I129" s="3053"/>
      <c r="J129" s="3053"/>
      <c r="K129" s="3053"/>
      <c r="L129" s="3053"/>
      <c r="M129" s="3053"/>
      <c r="N129" s="3053"/>
      <c r="O129" s="3053"/>
      <c r="P129" s="3053"/>
      <c r="Q129" s="3053"/>
      <c r="R129" s="3053"/>
      <c r="S129" s="3054"/>
    </row>
    <row r="130" spans="1:22" s="305" customFormat="1" ht="13.3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3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3744</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6"/>
      <c r="F138" s="3047"/>
      <c r="G138" s="3047"/>
      <c r="H138" s="3047"/>
      <c r="I138" s="3559" t="s">
        <v>3014</v>
      </c>
      <c r="J138" s="3554" t="s">
        <v>3014</v>
      </c>
      <c r="K138" s="3560" t="s">
        <v>4574</v>
      </c>
      <c r="L138" s="3561">
        <v>1E-4</v>
      </c>
      <c r="M138" s="3562" t="s">
        <v>3014</v>
      </c>
      <c r="N138" s="3563"/>
      <c r="O138" s="3047"/>
      <c r="P138" s="3047"/>
      <c r="Q138" s="3047"/>
      <c r="R138" s="3047"/>
      <c r="S138" s="3048"/>
    </row>
    <row r="139" spans="1:22" s="305" customFormat="1" ht="24" customHeight="1">
      <c r="A139" s="1650" t="s">
        <v>3466</v>
      </c>
      <c r="B139" s="1651"/>
      <c r="C139" s="1651"/>
      <c r="D139" s="1652"/>
      <c r="E139" s="3049"/>
      <c r="F139" s="3050"/>
      <c r="G139" s="3050"/>
      <c r="H139" s="3050"/>
      <c r="I139" s="3564"/>
      <c r="J139" s="3555"/>
      <c r="K139" s="3565"/>
      <c r="L139" s="3566"/>
      <c r="M139" s="3567"/>
      <c r="N139" s="3568"/>
      <c r="O139" s="3050"/>
      <c r="P139" s="3050"/>
      <c r="Q139" s="3050"/>
      <c r="R139" s="3050"/>
      <c r="S139" s="3051"/>
      <c r="U139" s="1696" t="s">
        <v>2047</v>
      </c>
      <c r="V139" s="1696"/>
    </row>
    <row r="140" spans="1:22" s="305" customFormat="1" ht="24" customHeight="1">
      <c r="A140" s="1650" t="s">
        <v>3467</v>
      </c>
      <c r="B140" s="1651"/>
      <c r="C140" s="1651"/>
      <c r="D140" s="1652"/>
      <c r="E140" s="3049"/>
      <c r="F140" s="3050"/>
      <c r="G140" s="3050"/>
      <c r="H140" s="3050"/>
      <c r="I140" s="3564"/>
      <c r="J140" s="3555"/>
      <c r="K140" s="3565"/>
      <c r="L140" s="3566"/>
      <c r="M140" s="3567"/>
      <c r="N140" s="3568"/>
      <c r="O140" s="3050"/>
      <c r="P140" s="3050"/>
      <c r="Q140" s="3050"/>
      <c r="R140" s="3050"/>
      <c r="S140" s="3051"/>
      <c r="U140" s="1696"/>
      <c r="V140" s="1696"/>
    </row>
    <row r="141" spans="1:22" s="305" customFormat="1" ht="24" customHeight="1">
      <c r="A141" s="1650" t="s">
        <v>3468</v>
      </c>
      <c r="B141" s="1651"/>
      <c r="C141" s="1651"/>
      <c r="D141" s="1652"/>
      <c r="E141" s="3049"/>
      <c r="F141" s="3050"/>
      <c r="G141" s="3050"/>
      <c r="H141" s="3050"/>
      <c r="I141" s="3564" t="s">
        <v>3014</v>
      </c>
      <c r="J141" s="3555" t="s">
        <v>3014</v>
      </c>
      <c r="K141" s="3565" t="s">
        <v>4574</v>
      </c>
      <c r="L141" s="3566">
        <v>0.99980000000000002</v>
      </c>
      <c r="M141" s="3567" t="s">
        <v>3014</v>
      </c>
      <c r="N141" s="3568"/>
      <c r="O141" s="3050"/>
      <c r="P141" s="3050"/>
      <c r="Q141" s="3050"/>
      <c r="R141" s="3050"/>
      <c r="S141" s="3051"/>
      <c r="U141" s="1696"/>
      <c r="V141" s="1696"/>
    </row>
    <row r="142" spans="1:22" s="305" customFormat="1" ht="24" customHeight="1">
      <c r="A142" s="1650" t="s">
        <v>3469</v>
      </c>
      <c r="B142" s="1651"/>
      <c r="C142" s="1651"/>
      <c r="D142" s="1652"/>
      <c r="E142" s="3049"/>
      <c r="F142" s="3050"/>
      <c r="G142" s="3050"/>
      <c r="H142" s="3050"/>
      <c r="I142" s="3564" t="s">
        <v>3014</v>
      </c>
      <c r="J142" s="3555" t="s">
        <v>3014</v>
      </c>
      <c r="K142" s="3565" t="s">
        <v>4574</v>
      </c>
      <c r="L142" s="3566">
        <v>1E-4</v>
      </c>
      <c r="M142" s="3567" t="s">
        <v>3014</v>
      </c>
      <c r="N142" s="3568"/>
      <c r="O142" s="3050"/>
      <c r="P142" s="3050"/>
      <c r="Q142" s="3050"/>
      <c r="R142" s="3050"/>
      <c r="S142" s="3051"/>
      <c r="U142" s="1696"/>
      <c r="V142" s="1696"/>
    </row>
    <row r="143" spans="1:22" s="305" customFormat="1" ht="24" customHeight="1">
      <c r="A143" s="1650" t="s">
        <v>2914</v>
      </c>
      <c r="B143" s="1651"/>
      <c r="C143" s="1651"/>
      <c r="D143" s="1652"/>
      <c r="E143" s="3049"/>
      <c r="F143" s="3050"/>
      <c r="G143" s="3050"/>
      <c r="H143" s="3050"/>
      <c r="I143" s="3564"/>
      <c r="J143" s="3555"/>
      <c r="K143" s="3565"/>
      <c r="L143" s="3566"/>
      <c r="M143" s="3567"/>
      <c r="N143" s="3568"/>
      <c r="O143" s="3050"/>
      <c r="P143" s="3050"/>
      <c r="Q143" s="3050"/>
      <c r="R143" s="3050"/>
      <c r="S143" s="3051"/>
      <c r="U143" s="1696"/>
      <c r="V143" s="1696"/>
    </row>
    <row r="144" spans="1:22" s="305" customFormat="1" ht="24" customHeight="1">
      <c r="A144" s="1650" t="s">
        <v>659</v>
      </c>
      <c r="B144" s="1651"/>
      <c r="C144" s="1651"/>
      <c r="D144" s="1652"/>
      <c r="E144" s="3049"/>
      <c r="F144" s="3050"/>
      <c r="G144" s="3050"/>
      <c r="H144" s="3050"/>
      <c r="I144" s="3564" t="s">
        <v>3014</v>
      </c>
      <c r="J144" s="3555" t="s">
        <v>3014</v>
      </c>
      <c r="K144" s="3565" t="s">
        <v>4574</v>
      </c>
      <c r="L144" s="3566" t="s">
        <v>3188</v>
      </c>
      <c r="M144" s="3567" t="s">
        <v>3014</v>
      </c>
      <c r="N144" s="3568"/>
      <c r="O144" s="3050"/>
      <c r="P144" s="3050"/>
      <c r="Q144" s="3050"/>
      <c r="R144" s="3050"/>
      <c r="S144" s="3051"/>
      <c r="U144" s="1696"/>
      <c r="V144" s="1696"/>
    </row>
    <row r="145" spans="1:24" s="305" customFormat="1" ht="24" customHeight="1">
      <c r="A145" s="1650" t="s">
        <v>2915</v>
      </c>
      <c r="B145" s="1651"/>
      <c r="C145" s="1651"/>
      <c r="D145" s="1652"/>
      <c r="E145" s="3049"/>
      <c r="F145" s="3050"/>
      <c r="G145" s="3050"/>
      <c r="H145" s="3050"/>
      <c r="I145" s="3564" t="s">
        <v>3014</v>
      </c>
      <c r="J145" s="3555" t="s">
        <v>3014</v>
      </c>
      <c r="K145" s="3565" t="s">
        <v>4574</v>
      </c>
      <c r="L145" s="3566" t="s">
        <v>3188</v>
      </c>
      <c r="M145" s="3567" t="s">
        <v>3014</v>
      </c>
      <c r="N145" s="3568"/>
      <c r="O145" s="3050"/>
      <c r="P145" s="3050"/>
      <c r="Q145" s="3050"/>
      <c r="R145" s="3050"/>
      <c r="S145" s="3051"/>
    </row>
    <row r="146" spans="1:24" s="305" customFormat="1" ht="24" customHeight="1">
      <c r="A146" s="1650" t="s">
        <v>2916</v>
      </c>
      <c r="B146" s="1651"/>
      <c r="C146" s="1651"/>
      <c r="D146" s="1652"/>
      <c r="E146" s="3049"/>
      <c r="F146" s="3050"/>
      <c r="G146" s="3050"/>
      <c r="H146" s="3050"/>
      <c r="I146" s="3564"/>
      <c r="J146" s="3555"/>
      <c r="K146" s="3565"/>
      <c r="L146" s="3566"/>
      <c r="M146" s="3567"/>
      <c r="N146" s="3568"/>
      <c r="O146" s="3050"/>
      <c r="P146" s="3050"/>
      <c r="Q146" s="3050"/>
      <c r="R146" s="3050"/>
      <c r="S146" s="3051"/>
    </row>
    <row r="147" spans="1:24" s="305" customFormat="1" ht="24" customHeight="1">
      <c r="A147" s="1650" t="s">
        <v>2918</v>
      </c>
      <c r="B147" s="1651"/>
      <c r="C147" s="1651"/>
      <c r="D147" s="1652"/>
      <c r="E147" s="3049"/>
      <c r="F147" s="3050"/>
      <c r="G147" s="3050"/>
      <c r="H147" s="3050"/>
      <c r="I147" s="3564"/>
      <c r="J147" s="3555"/>
      <c r="K147" s="3565"/>
      <c r="L147" s="3566"/>
      <c r="M147" s="3567"/>
      <c r="N147" s="3568"/>
      <c r="O147" s="3050"/>
      <c r="P147" s="3050"/>
      <c r="Q147" s="3050"/>
      <c r="R147" s="3050"/>
      <c r="S147" s="3051"/>
    </row>
    <row r="148" spans="1:24" s="305" customFormat="1" ht="24" customHeight="1">
      <c r="A148" s="1650" t="s">
        <v>2917</v>
      </c>
      <c r="B148" s="1651"/>
      <c r="C148" s="1651"/>
      <c r="D148" s="1652"/>
      <c r="E148" s="3049"/>
      <c r="F148" s="3050"/>
      <c r="G148" s="3050"/>
      <c r="H148" s="3050"/>
      <c r="I148" s="3564"/>
      <c r="J148" s="3555"/>
      <c r="K148" s="3565"/>
      <c r="L148" s="3566"/>
      <c r="M148" s="3567"/>
      <c r="N148" s="3568"/>
      <c r="O148" s="3050"/>
      <c r="P148" s="3050"/>
      <c r="Q148" s="3050"/>
      <c r="R148" s="3050"/>
      <c r="S148" s="3051"/>
    </row>
    <row r="149" spans="1:24" s="305" customFormat="1" ht="24" customHeight="1">
      <c r="A149" s="1650" t="s">
        <v>1541</v>
      </c>
      <c r="B149" s="1651"/>
      <c r="C149" s="1651"/>
      <c r="D149" s="1652"/>
      <c r="E149" s="3049"/>
      <c r="F149" s="3050"/>
      <c r="G149" s="3050"/>
      <c r="H149" s="3050"/>
      <c r="I149" s="3564"/>
      <c r="J149" s="3555"/>
      <c r="K149" s="3565"/>
      <c r="L149" s="3566"/>
      <c r="M149" s="3567"/>
      <c r="N149" s="3568"/>
      <c r="O149" s="3050"/>
      <c r="P149" s="3050"/>
      <c r="Q149" s="3050"/>
      <c r="R149" s="3050"/>
      <c r="S149" s="3051"/>
    </row>
    <row r="150" spans="1:24" s="305" customFormat="1" ht="24" customHeight="1">
      <c r="A150" s="1653" t="s">
        <v>2919</v>
      </c>
      <c r="B150" s="1654"/>
      <c r="C150" s="1654"/>
      <c r="D150" s="1655"/>
      <c r="E150" s="3052"/>
      <c r="F150" s="3053"/>
      <c r="G150" s="3053"/>
      <c r="H150" s="3053"/>
      <c r="I150" s="3569"/>
      <c r="J150" s="3558"/>
      <c r="K150" s="3570"/>
      <c r="L150" s="3571"/>
      <c r="M150" s="3572"/>
      <c r="N150" s="3573"/>
      <c r="O150" s="3053"/>
      <c r="P150" s="3053"/>
      <c r="Q150" s="3053"/>
      <c r="R150" s="3053"/>
      <c r="S150" s="3054"/>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1" t="s">
        <v>4710</v>
      </c>
      <c r="B153" s="3574"/>
      <c r="C153" s="3574"/>
      <c r="D153" s="3574"/>
      <c r="E153" s="3574"/>
      <c r="F153" s="3574"/>
      <c r="G153" s="3574"/>
      <c r="H153" s="3574"/>
      <c r="I153" s="3574"/>
      <c r="J153" s="3574"/>
      <c r="K153" s="3574"/>
      <c r="L153" s="3574"/>
      <c r="M153" s="3575"/>
      <c r="N153" s="3576"/>
      <c r="O153" s="3577"/>
      <c r="P153" s="3577"/>
      <c r="Q153" s="3577"/>
      <c r="R153" s="3577"/>
      <c r="S153" s="3578"/>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9" t="s">
        <v>1812</v>
      </c>
    </row>
    <row r="159" spans="1:24" s="305" customFormat="1" ht="12" customHeight="1">
      <c r="A159" s="348"/>
      <c r="B159" s="324"/>
      <c r="C159" s="324"/>
      <c r="D159" s="324"/>
      <c r="E159" s="324"/>
      <c r="F159" s="324"/>
      <c r="G159" s="324"/>
      <c r="H159" s="324"/>
      <c r="I159" s="324"/>
      <c r="J159" s="324"/>
      <c r="K159" s="324"/>
      <c r="L159" s="324"/>
      <c r="M159" s="324"/>
      <c r="N159" s="324"/>
      <c r="O159" s="324"/>
      <c r="P159" s="3580" t="s">
        <v>846</v>
      </c>
    </row>
    <row r="160" spans="1:24" s="305" customFormat="1" ht="12" customHeight="1">
      <c r="A160" s="348"/>
      <c r="B160" s="324"/>
      <c r="C160" s="324"/>
      <c r="D160" s="324"/>
      <c r="E160" s="324"/>
      <c r="F160" s="324"/>
      <c r="G160" s="324"/>
      <c r="H160" s="324"/>
      <c r="I160" s="324"/>
      <c r="J160" s="324"/>
      <c r="K160" s="324"/>
      <c r="L160" s="324"/>
      <c r="M160" s="324"/>
      <c r="N160" s="324"/>
      <c r="O160" s="324"/>
      <c r="P160" s="3580" t="s">
        <v>847</v>
      </c>
    </row>
    <row r="161" spans="1:16" s="305" customFormat="1" ht="12" customHeight="1">
      <c r="A161" s="348"/>
      <c r="B161" s="324"/>
      <c r="C161" s="324"/>
      <c r="D161" s="324"/>
      <c r="E161" s="324"/>
      <c r="F161" s="324"/>
      <c r="G161" s="324"/>
      <c r="H161" s="324"/>
      <c r="I161" s="324"/>
      <c r="J161" s="324"/>
      <c r="K161" s="324"/>
      <c r="L161" s="324"/>
      <c r="M161" s="324"/>
      <c r="N161" s="324"/>
      <c r="O161" s="324"/>
      <c r="P161" s="3580" t="s">
        <v>848</v>
      </c>
    </row>
    <row r="162" spans="1:16" s="305" customFormat="1" ht="12" customHeight="1">
      <c r="A162" s="501"/>
      <c r="B162" s="324"/>
      <c r="C162" s="324"/>
      <c r="D162" s="324"/>
      <c r="E162" s="324"/>
      <c r="F162" s="324"/>
      <c r="G162" s="324"/>
      <c r="H162" s="324"/>
      <c r="I162" s="324"/>
      <c r="J162" s="324"/>
      <c r="K162" s="324"/>
      <c r="L162" s="324"/>
      <c r="M162" s="324"/>
      <c r="N162" s="324"/>
      <c r="O162" s="324"/>
      <c r="P162" s="3580" t="s">
        <v>849</v>
      </c>
    </row>
    <row r="163" spans="1:16" s="305" customFormat="1" ht="12" customHeight="1">
      <c r="B163" s="324"/>
      <c r="C163" s="324"/>
      <c r="D163" s="324"/>
      <c r="E163" s="324"/>
      <c r="F163" s="324"/>
      <c r="G163" s="324"/>
      <c r="H163" s="324"/>
      <c r="I163" s="324"/>
      <c r="J163" s="324"/>
      <c r="K163" s="324"/>
      <c r="L163" s="324"/>
      <c r="M163" s="324"/>
      <c r="N163" s="324"/>
      <c r="O163" s="324"/>
      <c r="P163" s="3580" t="s">
        <v>850</v>
      </c>
    </row>
    <row r="164" spans="1:16" s="305" customFormat="1" ht="12" customHeight="1">
      <c r="B164" s="324"/>
      <c r="C164" s="324"/>
      <c r="D164" s="324"/>
      <c r="E164" s="324"/>
      <c r="F164" s="324"/>
      <c r="G164" s="324"/>
      <c r="H164" s="324"/>
      <c r="I164" s="324"/>
      <c r="J164" s="324"/>
      <c r="K164" s="324"/>
      <c r="L164" s="324"/>
      <c r="M164" s="324"/>
      <c r="N164" s="324"/>
      <c r="O164" s="324"/>
      <c r="P164" s="3580" t="s">
        <v>851</v>
      </c>
    </row>
    <row r="165" spans="1:16" s="305" customFormat="1" ht="12" customHeight="1">
      <c r="B165" s="324"/>
      <c r="C165" s="324"/>
      <c r="D165" s="324"/>
      <c r="E165" s="324"/>
      <c r="F165" s="324"/>
      <c r="G165" s="324"/>
      <c r="H165" s="324"/>
      <c r="I165" s="324"/>
      <c r="J165" s="324"/>
      <c r="K165" s="324"/>
      <c r="L165" s="324"/>
      <c r="M165" s="324"/>
      <c r="N165" s="324"/>
      <c r="O165" s="324"/>
      <c r="P165" s="3580" t="s">
        <v>852</v>
      </c>
    </row>
    <row r="166" spans="1:16" s="305" customFormat="1" ht="12" customHeight="1">
      <c r="B166" s="324"/>
      <c r="C166" s="324"/>
      <c r="D166" s="324"/>
      <c r="E166" s="324"/>
      <c r="F166" s="324"/>
      <c r="G166" s="324"/>
      <c r="H166" s="324"/>
      <c r="I166" s="324"/>
      <c r="J166" s="324"/>
      <c r="K166" s="324"/>
      <c r="L166" s="324"/>
      <c r="M166" s="324"/>
      <c r="N166" s="324"/>
      <c r="O166" s="324"/>
      <c r="P166" s="3580" t="s">
        <v>853</v>
      </c>
    </row>
    <row r="167" spans="1:16" ht="12" customHeight="1">
      <c r="P167" s="3580" t="s">
        <v>854</v>
      </c>
    </row>
    <row r="168" spans="1:16" ht="12" customHeight="1">
      <c r="A168" s="333"/>
      <c r="P168" s="3580" t="s">
        <v>855</v>
      </c>
    </row>
    <row r="169" spans="1:16" ht="12" customHeight="1">
      <c r="P169" s="3580" t="s">
        <v>856</v>
      </c>
    </row>
    <row r="170" spans="1:16" ht="12" customHeight="1">
      <c r="P170" s="3580" t="s">
        <v>857</v>
      </c>
    </row>
    <row r="171" spans="1:16" ht="12" customHeight="1">
      <c r="P171" s="3580" t="s">
        <v>858</v>
      </c>
    </row>
    <row r="172" spans="1:16" ht="12" customHeight="1">
      <c r="P172" s="3580" t="s">
        <v>859</v>
      </c>
    </row>
    <row r="173" spans="1:16" ht="12" customHeight="1">
      <c r="P173" s="3580" t="s">
        <v>860</v>
      </c>
    </row>
    <row r="174" spans="1:16" ht="12" customHeight="1">
      <c r="P174" s="3580" t="s">
        <v>861</v>
      </c>
    </row>
    <row r="175" spans="1:16" ht="12" customHeight="1">
      <c r="P175" s="3580" t="s">
        <v>862</v>
      </c>
    </row>
    <row r="176" spans="1:16" ht="12" customHeight="1">
      <c r="P176" s="3580" t="s">
        <v>863</v>
      </c>
    </row>
    <row r="177" spans="16:16" ht="12" customHeight="1">
      <c r="P177" s="3580" t="s">
        <v>864</v>
      </c>
    </row>
    <row r="178" spans="16:16" ht="12" customHeight="1">
      <c r="P178" s="3580" t="s">
        <v>865</v>
      </c>
    </row>
    <row r="179" spans="16:16" ht="12" customHeight="1">
      <c r="P179" s="3580" t="s">
        <v>866</v>
      </c>
    </row>
    <row r="180" spans="16:16" ht="12" customHeight="1">
      <c r="P180" s="3580" t="s">
        <v>867</v>
      </c>
    </row>
    <row r="181" spans="16:16" ht="12" customHeight="1">
      <c r="P181" s="3580" t="s">
        <v>868</v>
      </c>
    </row>
    <row r="182" spans="16:16" ht="12" customHeight="1">
      <c r="P182" s="3580" t="s">
        <v>869</v>
      </c>
    </row>
    <row r="183" spans="16:16" ht="12" customHeight="1">
      <c r="P183" s="3580" t="s">
        <v>870</v>
      </c>
    </row>
    <row r="184" spans="16:16" ht="12" customHeight="1">
      <c r="P184" s="3580" t="s">
        <v>1353</v>
      </c>
    </row>
    <row r="185" spans="16:16" ht="12" customHeight="1">
      <c r="P185" s="3580" t="s">
        <v>1354</v>
      </c>
    </row>
    <row r="186" spans="16:16" ht="12" customHeight="1">
      <c r="P186" s="3580" t="s">
        <v>1355</v>
      </c>
    </row>
    <row r="187" spans="16:16" ht="12" customHeight="1">
      <c r="P187" s="3580" t="s">
        <v>1356</v>
      </c>
    </row>
    <row r="188" spans="16:16" ht="12" customHeight="1">
      <c r="P188" s="3580" t="s">
        <v>1357</v>
      </c>
    </row>
    <row r="189" spans="16:16" ht="13.5">
      <c r="P189" s="3580" t="s">
        <v>1358</v>
      </c>
    </row>
    <row r="190" spans="16:16" ht="12" customHeight="1">
      <c r="P190" s="3580" t="s">
        <v>1359</v>
      </c>
    </row>
    <row r="191" spans="16:16" ht="12" customHeight="1">
      <c r="P191" s="3580" t="s">
        <v>1360</v>
      </c>
    </row>
    <row r="192" spans="16:16" ht="12" customHeight="1">
      <c r="P192" s="3580" t="s">
        <v>1361</v>
      </c>
    </row>
    <row r="193" spans="16:16" ht="12" customHeight="1">
      <c r="P193" s="3580" t="s">
        <v>1362</v>
      </c>
    </row>
    <row r="194" spans="16:16" ht="12" customHeight="1">
      <c r="P194" s="3580" t="s">
        <v>1363</v>
      </c>
    </row>
    <row r="195" spans="16:16" ht="12" customHeight="1">
      <c r="P195" s="3580" t="s">
        <v>1364</v>
      </c>
    </row>
    <row r="196" spans="16:16" ht="12" customHeight="1">
      <c r="P196" s="3580" t="s">
        <v>1365</v>
      </c>
    </row>
    <row r="197" spans="16:16" ht="12" customHeight="1">
      <c r="P197" s="3580" t="s">
        <v>1366</v>
      </c>
    </row>
    <row r="198" spans="16:16" ht="12" customHeight="1">
      <c r="P198" s="3580" t="s">
        <v>1367</v>
      </c>
    </row>
    <row r="199" spans="16:16" ht="12" customHeight="1">
      <c r="P199" s="3580" t="s">
        <v>1368</v>
      </c>
    </row>
    <row r="200" spans="16:16" ht="12" customHeight="1">
      <c r="P200" s="3580" t="s">
        <v>1369</v>
      </c>
    </row>
    <row r="201" spans="16:16" ht="12" customHeight="1">
      <c r="P201" s="3580" t="s">
        <v>1370</v>
      </c>
    </row>
    <row r="202" spans="16:16" ht="12" customHeight="1">
      <c r="P202" s="3580" t="s">
        <v>1371</v>
      </c>
    </row>
    <row r="203" spans="16:16" ht="12" customHeight="1">
      <c r="P203" s="3580" t="s">
        <v>1372</v>
      </c>
    </row>
    <row r="204" spans="16:16" ht="12" customHeight="1">
      <c r="P204" s="3580" t="s">
        <v>1373</v>
      </c>
    </row>
    <row r="205" spans="16:16" ht="12" customHeight="1">
      <c r="P205" s="3580" t="s">
        <v>1374</v>
      </c>
    </row>
    <row r="206" spans="16:16" ht="12" customHeight="1">
      <c r="P206" s="3580" t="s">
        <v>1375</v>
      </c>
    </row>
    <row r="207" spans="16:16" ht="12" customHeight="1">
      <c r="P207" s="3580" t="s">
        <v>1376</v>
      </c>
    </row>
    <row r="208" spans="16:16" ht="12" customHeight="1">
      <c r="P208" s="3580" t="s">
        <v>1377</v>
      </c>
    </row>
    <row r="209" spans="16:16" ht="12" customHeight="1">
      <c r="P209" s="3580" t="s">
        <v>1378</v>
      </c>
    </row>
  </sheetData>
  <sheetProtection algorithmName="SHA-512" hashValue="E0GSHH8ijo5IRRbyAk2ePjh4awPhoDcD+eSOyfP79BQvv2v1UFxFA9u8PLXLHlJq/37vHtyG9dGByWt3DDN39g==" saltValue="xJKeJJtqlELLKQuvIfjmoA=="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125" zoomScaleNormal="125" zoomScalePageLayoutView="125"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42578125" style="354" customWidth="1"/>
    <col min="20" max="20" width="98.7109375" style="354" customWidth="1"/>
    <col min="21" max="16384" width="9.140625" style="354"/>
  </cols>
  <sheetData>
    <row r="1" spans="1:20" s="278" customFormat="1" ht="14.1" customHeight="1">
      <c r="A1" s="1693" t="str">
        <f>CONCATENATE("PART THREE - SOURCES OF FUNDS","  -  ",'Part I-Project Information'!$O$6," ",'Part I-Project Information'!$F$34,", ",'Part I-Project Information'!$F$38,", ",'Part I-Project Information'!$J$39," County")</f>
        <v>PART THREE - SOURCES OF FUNDS  -  2018-046 Abbington on Cheshire Bridge, Atlanta, Fulton County</v>
      </c>
      <c r="B1" s="1694"/>
      <c r="C1" s="1694"/>
      <c r="D1" s="1694"/>
      <c r="E1" s="1694"/>
      <c r="F1" s="1694"/>
      <c r="G1" s="1694"/>
      <c r="H1" s="1694"/>
      <c r="I1" s="1694"/>
      <c r="J1" s="1694"/>
      <c r="K1" s="1694"/>
      <c r="L1" s="1694"/>
      <c r="M1" s="1694"/>
      <c r="N1" s="1694"/>
      <c r="O1" s="1694"/>
      <c r="P1" s="1694"/>
      <c r="Q1" s="1695"/>
      <c r="S1" s="1736" t="str">
        <f>$A$1</f>
        <v>PART THREE - SOURCES OF FUNDS  -  2018-046 Abbington on Cheshire Bridge, Atlanta, Fulton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35" customHeight="1">
      <c r="A3" s="307" t="s">
        <v>622</v>
      </c>
      <c r="B3" s="327" t="s">
        <v>2507</v>
      </c>
      <c r="C3" s="305"/>
      <c r="D3" s="1570"/>
      <c r="E3" s="1570"/>
      <c r="F3" s="1570"/>
      <c r="G3" s="1570"/>
      <c r="J3" s="1570"/>
      <c r="P3" s="1555" t="s">
        <v>4550</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8" t="s">
        <v>3011</v>
      </c>
      <c r="C5" s="1559" t="s">
        <v>2426</v>
      </c>
      <c r="D5" s="305"/>
      <c r="H5" s="3428" t="s">
        <v>3014</v>
      </c>
      <c r="I5" s="1559" t="s">
        <v>1549</v>
      </c>
      <c r="L5" s="3428" t="s">
        <v>3014</v>
      </c>
      <c r="M5" s="305" t="s">
        <v>3918</v>
      </c>
      <c r="S5" s="3429"/>
      <c r="T5" s="3430"/>
    </row>
    <row r="6" spans="1:20" s="278" customFormat="1" ht="16.5" customHeight="1">
      <c r="A6" s="501"/>
      <c r="B6" s="3431" t="s">
        <v>3014</v>
      </c>
      <c r="C6" s="1559" t="s">
        <v>555</v>
      </c>
      <c r="D6" s="305"/>
      <c r="H6" s="3431" t="s">
        <v>3014</v>
      </c>
      <c r="I6" s="1559" t="s">
        <v>554</v>
      </c>
      <c r="L6" s="3431" t="s">
        <v>3014</v>
      </c>
      <c r="M6" s="1559" t="s">
        <v>2618</v>
      </c>
      <c r="S6" s="3432"/>
      <c r="T6" s="3433"/>
    </row>
    <row r="7" spans="1:20" s="278" customFormat="1" ht="16.5" customHeight="1">
      <c r="A7" s="305"/>
      <c r="B7" s="3431" t="s">
        <v>3014</v>
      </c>
      <c r="C7" s="1559" t="s">
        <v>3915</v>
      </c>
      <c r="F7" s="3434"/>
      <c r="G7" s="3435"/>
      <c r="H7" s="3431" t="s">
        <v>3014</v>
      </c>
      <c r="I7" s="1559" t="s">
        <v>3706</v>
      </c>
      <c r="L7" s="3431" t="s">
        <v>3014</v>
      </c>
      <c r="M7" s="1559" t="s">
        <v>2619</v>
      </c>
      <c r="S7" s="3432"/>
      <c r="T7" s="3433"/>
    </row>
    <row r="8" spans="1:20" s="278" customFormat="1" ht="16.5" customHeight="1">
      <c r="A8" s="501"/>
      <c r="B8" s="3431" t="s">
        <v>3014</v>
      </c>
      <c r="C8" s="1559" t="s">
        <v>1816</v>
      </c>
      <c r="D8" s="305"/>
      <c r="H8" s="3431" t="s">
        <v>3014</v>
      </c>
      <c r="I8" s="305" t="s">
        <v>2627</v>
      </c>
      <c r="L8" s="3431" t="s">
        <v>3014</v>
      </c>
      <c r="M8" s="310" t="s">
        <v>3711</v>
      </c>
      <c r="S8" s="3436"/>
      <c r="T8" s="3437"/>
    </row>
    <row r="9" spans="1:20" s="278" customFormat="1" ht="16.5" customHeight="1">
      <c r="A9" s="501"/>
      <c r="B9" s="3431" t="s">
        <v>3014</v>
      </c>
      <c r="C9" s="1559" t="s">
        <v>556</v>
      </c>
      <c r="H9" s="3431" t="s">
        <v>3014</v>
      </c>
      <c r="I9" s="305" t="s">
        <v>2625</v>
      </c>
      <c r="L9" s="3431" t="s">
        <v>3014</v>
      </c>
      <c r="M9" s="310" t="s">
        <v>2626</v>
      </c>
      <c r="S9" s="3429"/>
      <c r="T9" s="3430"/>
    </row>
    <row r="10" spans="1:20" s="278" customFormat="1" ht="16.5" customHeight="1">
      <c r="A10" s="501"/>
      <c r="B10" s="3431" t="s">
        <v>3014</v>
      </c>
      <c r="C10" s="310" t="s">
        <v>3916</v>
      </c>
      <c r="G10" s="649"/>
      <c r="H10" s="3431" t="s">
        <v>3014</v>
      </c>
      <c r="I10" s="305" t="s">
        <v>3745</v>
      </c>
      <c r="J10" s="1035"/>
      <c r="K10" s="1035"/>
      <c r="L10" s="3431" t="s">
        <v>3014</v>
      </c>
      <c r="M10" s="310" t="s">
        <v>3747</v>
      </c>
      <c r="O10" s="3438" t="s">
        <v>3900</v>
      </c>
      <c r="P10" s="3439"/>
      <c r="Q10" s="3440"/>
      <c r="S10" s="3432"/>
      <c r="T10" s="3433"/>
    </row>
    <row r="11" spans="1:20" s="278" customFormat="1" ht="16.5" customHeight="1">
      <c r="A11" s="501"/>
      <c r="B11" s="3431" t="s">
        <v>3014</v>
      </c>
      <c r="C11" s="1559" t="s">
        <v>3748</v>
      </c>
      <c r="D11" s="305"/>
      <c r="E11" s="3441"/>
      <c r="F11" s="3442"/>
      <c r="H11" s="3431" t="s">
        <v>3014</v>
      </c>
      <c r="I11" s="305" t="s">
        <v>3750</v>
      </c>
      <c r="L11" s="3443" t="s">
        <v>3014</v>
      </c>
      <c r="M11" s="305" t="s">
        <v>3645</v>
      </c>
      <c r="S11" s="3432"/>
      <c r="T11" s="3433"/>
    </row>
    <row r="12" spans="1:20" s="278" customFormat="1" ht="16.5" customHeight="1">
      <c r="A12" s="501"/>
      <c r="B12" s="3443" t="s">
        <v>3014</v>
      </c>
      <c r="C12" s="1559" t="s">
        <v>3749</v>
      </c>
      <c r="E12" s="3444"/>
      <c r="F12" s="3445"/>
      <c r="H12" s="3431" t="s">
        <v>3014</v>
      </c>
      <c r="I12" s="521" t="s">
        <v>2815</v>
      </c>
      <c r="J12" s="521"/>
      <c r="K12" s="521"/>
      <c r="L12" s="3446" t="s">
        <v>3011</v>
      </c>
      <c r="M12" s="3447" t="s">
        <v>4615</v>
      </c>
      <c r="N12" s="3448"/>
      <c r="O12" s="3448"/>
      <c r="P12" s="3448"/>
      <c r="Q12" s="3449"/>
      <c r="S12" s="3436"/>
      <c r="T12" s="3437"/>
    </row>
    <row r="13" spans="1:20" s="278" customFormat="1" ht="16.5" customHeight="1">
      <c r="A13" s="501"/>
      <c r="C13" s="278" t="s">
        <v>3746</v>
      </c>
      <c r="E13" s="3438" t="s">
        <v>3472</v>
      </c>
      <c r="F13" s="3439"/>
      <c r="G13" s="3440"/>
      <c r="H13" s="3443" t="s">
        <v>3014</v>
      </c>
      <c r="I13" s="310" t="s">
        <v>3917</v>
      </c>
      <c r="J13" s="521"/>
      <c r="K13" s="521"/>
      <c r="M13" s="3450" t="s">
        <v>3723</v>
      </c>
      <c r="N13" s="3451"/>
      <c r="O13" s="3451"/>
      <c r="P13" s="3451"/>
      <c r="Q13" s="3452"/>
    </row>
    <row r="14" spans="1:20" s="278" customFormat="1" ht="17.100000000000001"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4.1" customHeight="1">
      <c r="A17" s="307"/>
      <c r="B17" s="277"/>
      <c r="C17" s="305"/>
      <c r="K17" s="305"/>
      <c r="L17" s="305"/>
      <c r="M17" s="1570"/>
      <c r="N17" s="1561"/>
      <c r="O17" s="1561"/>
      <c r="P17" s="305"/>
      <c r="Q17" s="305"/>
    </row>
    <row r="18" spans="1:20" s="278" customFormat="1" ht="17.100000000000001"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3" t="s">
        <v>4688</v>
      </c>
      <c r="I19" s="3454"/>
      <c r="J19" s="3454"/>
      <c r="K19" s="3455"/>
      <c r="L19" s="3350">
        <v>5148953</v>
      </c>
      <c r="M19" s="3351"/>
      <c r="N19" s="3456">
        <v>4.6587499999999997E-2</v>
      </c>
      <c r="O19" s="3457"/>
      <c r="P19" s="3458">
        <v>24</v>
      </c>
      <c r="Q19" s="3459"/>
      <c r="S19" s="3429"/>
      <c r="T19" s="3430"/>
    </row>
    <row r="20" spans="1:20" s="278" customFormat="1" ht="16.5" customHeight="1">
      <c r="A20" s="305"/>
      <c r="B20" s="1707" t="s">
        <v>1604</v>
      </c>
      <c r="C20" s="1708"/>
      <c r="D20" s="1708"/>
      <c r="E20" s="1570"/>
      <c r="F20" s="1570"/>
      <c r="G20" s="1570"/>
      <c r="H20" s="3460" t="s">
        <v>4616</v>
      </c>
      <c r="I20" s="3461"/>
      <c r="J20" s="3461"/>
      <c r="K20" s="3462"/>
      <c r="L20" s="3355">
        <v>1200000</v>
      </c>
      <c r="M20" s="3356"/>
      <c r="N20" s="3463">
        <v>0.02</v>
      </c>
      <c r="O20" s="3464"/>
      <c r="P20" s="3465">
        <v>24</v>
      </c>
      <c r="Q20" s="3466"/>
      <c r="S20" s="3432"/>
      <c r="T20" s="3433"/>
    </row>
    <row r="21" spans="1:20" s="278" customFormat="1" ht="16.5" customHeight="1">
      <c r="A21" s="305"/>
      <c r="B21" s="1733" t="s">
        <v>1605</v>
      </c>
      <c r="C21" s="1734"/>
      <c r="D21" s="1734"/>
      <c r="E21" s="1567"/>
      <c r="F21" s="1567"/>
      <c r="G21" s="1567"/>
      <c r="H21" s="3467"/>
      <c r="I21" s="3468"/>
      <c r="J21" s="3468"/>
      <c r="K21" s="3469"/>
      <c r="L21" s="3388"/>
      <c r="M21" s="3389"/>
      <c r="N21" s="3470"/>
      <c r="O21" s="3471"/>
      <c r="P21" s="3472"/>
      <c r="Q21" s="3473"/>
      <c r="S21" s="3432"/>
      <c r="T21" s="3433"/>
    </row>
    <row r="22" spans="1:20" s="278" customFormat="1" ht="16.5" customHeight="1">
      <c r="A22" s="305"/>
      <c r="B22" s="1725" t="s">
        <v>2231</v>
      </c>
      <c r="C22" s="1726"/>
      <c r="D22" s="1726"/>
      <c r="E22" s="1570"/>
      <c r="F22" s="1570"/>
      <c r="G22" s="1570"/>
      <c r="H22" s="3474"/>
      <c r="I22" s="3475"/>
      <c r="J22" s="3475"/>
      <c r="K22" s="3476"/>
      <c r="L22" s="3477"/>
      <c r="M22" s="3478"/>
      <c r="N22" s="1727"/>
      <c r="O22" s="1728"/>
      <c r="P22" s="1722"/>
      <c r="Q22" s="1722"/>
      <c r="S22" s="3432"/>
      <c r="T22" s="3433"/>
    </row>
    <row r="23" spans="1:20" s="278" customFormat="1" ht="16.5" customHeight="1">
      <c r="A23" s="305"/>
      <c r="B23" s="1707" t="s">
        <v>809</v>
      </c>
      <c r="C23" s="1708"/>
      <c r="D23" s="1708"/>
      <c r="E23" s="1570"/>
      <c r="H23" s="3460"/>
      <c r="I23" s="3461"/>
      <c r="J23" s="3461"/>
      <c r="K23" s="3462"/>
      <c r="L23" s="3355"/>
      <c r="M23" s="3356"/>
      <c r="N23" s="1727"/>
      <c r="O23" s="1728"/>
      <c r="P23" s="1722"/>
      <c r="Q23" s="1722"/>
      <c r="S23" s="3432"/>
      <c r="T23" s="3433"/>
    </row>
    <row r="24" spans="1:20" s="278" customFormat="1" ht="16.5" customHeight="1">
      <c r="A24" s="305"/>
      <c r="B24" s="1707" t="s">
        <v>647</v>
      </c>
      <c r="C24" s="1708"/>
      <c r="D24" s="1708"/>
      <c r="E24" s="1570"/>
      <c r="H24" s="3460"/>
      <c r="I24" s="3461"/>
      <c r="J24" s="3461"/>
      <c r="K24" s="3462"/>
      <c r="L24" s="3355"/>
      <c r="M24" s="3356"/>
      <c r="N24" s="1727"/>
      <c r="O24" s="1728"/>
      <c r="P24" s="1722"/>
      <c r="Q24" s="1722"/>
      <c r="S24" s="3432"/>
      <c r="T24" s="3433"/>
    </row>
    <row r="25" spans="1:20" s="278" customFormat="1" ht="16.5" customHeight="1">
      <c r="A25" s="305"/>
      <c r="B25" s="1707" t="s">
        <v>810</v>
      </c>
      <c r="C25" s="1708"/>
      <c r="D25" s="1708"/>
      <c r="E25" s="1570"/>
      <c r="H25" s="3460" t="s">
        <v>4658</v>
      </c>
      <c r="I25" s="3461"/>
      <c r="J25" s="3461"/>
      <c r="K25" s="3462"/>
      <c r="L25" s="3370">
        <v>2427357</v>
      </c>
      <c r="M25" s="3356"/>
      <c r="N25" s="305"/>
      <c r="O25" s="305"/>
      <c r="P25" s="305"/>
      <c r="Q25" s="305"/>
      <c r="S25" s="3436"/>
      <c r="T25" s="3437"/>
    </row>
    <row r="26" spans="1:20" s="278" customFormat="1" ht="16.5" customHeight="1">
      <c r="A26" s="305"/>
      <c r="B26" s="1707" t="s">
        <v>811</v>
      </c>
      <c r="C26" s="1708"/>
      <c r="D26" s="1708"/>
      <c r="E26" s="1570"/>
      <c r="H26" s="3460" t="s">
        <v>4658</v>
      </c>
      <c r="I26" s="3461"/>
      <c r="J26" s="3461"/>
      <c r="K26" s="3462"/>
      <c r="L26" s="3370">
        <v>1513528</v>
      </c>
      <c r="M26" s="3356"/>
      <c r="N26" s="305"/>
      <c r="Q26" s="305"/>
      <c r="S26" s="3429"/>
      <c r="T26" s="3430"/>
    </row>
    <row r="27" spans="1:20" s="278" customFormat="1" ht="16.5" customHeight="1">
      <c r="A27" s="305"/>
      <c r="B27" s="1569" t="s">
        <v>244</v>
      </c>
      <c r="C27" s="1570"/>
      <c r="D27" s="3479"/>
      <c r="E27" s="3479"/>
      <c r="F27" s="3479"/>
      <c r="G27" s="3479"/>
      <c r="H27" s="3460"/>
      <c r="I27" s="3461"/>
      <c r="J27" s="3461"/>
      <c r="K27" s="3462"/>
      <c r="L27" s="3355"/>
      <c r="M27" s="3356"/>
      <c r="N27" s="305"/>
      <c r="Q27" s="305"/>
      <c r="S27" s="3432"/>
      <c r="T27" s="3433"/>
    </row>
    <row r="28" spans="1:20" s="278" customFormat="1" ht="16.5" customHeight="1">
      <c r="A28" s="305"/>
      <c r="B28" s="1569" t="s">
        <v>244</v>
      </c>
      <c r="C28" s="1570"/>
      <c r="D28" s="3480"/>
      <c r="E28" s="3480"/>
      <c r="F28" s="3480"/>
      <c r="G28" s="3480"/>
      <c r="H28" s="3460"/>
      <c r="I28" s="3461"/>
      <c r="J28" s="3461"/>
      <c r="K28" s="3462"/>
      <c r="L28" s="3355"/>
      <c r="M28" s="3356"/>
      <c r="N28" s="305"/>
      <c r="S28" s="3432"/>
      <c r="T28" s="3433"/>
    </row>
    <row r="29" spans="1:20" s="278" customFormat="1" ht="16.5" customHeight="1">
      <c r="A29" s="305"/>
      <c r="B29" s="1566" t="s">
        <v>244</v>
      </c>
      <c r="C29" s="1567"/>
      <c r="D29" s="3481"/>
      <c r="E29" s="3481"/>
      <c r="F29" s="3481"/>
      <c r="G29" s="3481"/>
      <c r="H29" s="3467"/>
      <c r="I29" s="3468"/>
      <c r="J29" s="3468"/>
      <c r="K29" s="3469"/>
      <c r="L29" s="3388"/>
      <c r="M29" s="3389"/>
      <c r="N29" s="305"/>
      <c r="S29" s="3432"/>
      <c r="T29" s="3433"/>
    </row>
    <row r="30" spans="1:20" s="278" customFormat="1" ht="16.5" customHeight="1">
      <c r="A30" s="305"/>
      <c r="B30" s="277" t="s">
        <v>1310</v>
      </c>
      <c r="C30" s="305"/>
      <c r="D30" s="305"/>
      <c r="E30" s="305"/>
      <c r="F30" s="305"/>
      <c r="G30" s="305"/>
      <c r="H30" s="305"/>
      <c r="I30" s="305"/>
      <c r="L30" s="1729">
        <f>SUM(L19:L29)</f>
        <v>10289838</v>
      </c>
      <c r="M30" s="1730"/>
      <c r="N30" s="324"/>
      <c r="S30" s="3432"/>
      <c r="T30" s="3433"/>
    </row>
    <row r="31" spans="1:20" s="278" customFormat="1" ht="16.5" customHeight="1">
      <c r="A31" s="305"/>
      <c r="B31" s="1559" t="s">
        <v>1311</v>
      </c>
      <c r="C31" s="305"/>
      <c r="D31" s="305"/>
      <c r="E31" s="305"/>
      <c r="F31" s="305"/>
      <c r="G31" s="305"/>
      <c r="H31" s="305"/>
      <c r="I31" s="305"/>
      <c r="L31" s="34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10289838</v>
      </c>
      <c r="M31" s="3483"/>
      <c r="N31" s="900"/>
      <c r="S31" s="3432"/>
      <c r="T31" s="3433"/>
    </row>
    <row r="32" spans="1:20" s="278" customFormat="1" ht="16.5" customHeight="1">
      <c r="A32" s="305"/>
      <c r="B32" s="310" t="s">
        <v>2173</v>
      </c>
      <c r="C32" s="305"/>
      <c r="D32" s="305"/>
      <c r="E32" s="305"/>
      <c r="F32" s="305"/>
      <c r="G32" s="305"/>
      <c r="H32" s="305"/>
      <c r="I32" s="305"/>
      <c r="L32" s="1731">
        <f>L30-L31</f>
        <v>0</v>
      </c>
      <c r="M32" s="1732"/>
      <c r="N32" s="900"/>
      <c r="S32" s="3436"/>
      <c r="T32" s="3437"/>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3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35" customHeight="1">
      <c r="A36" s="305"/>
      <c r="B36" s="1564" t="s">
        <v>1885</v>
      </c>
      <c r="C36" s="1567"/>
      <c r="D36" s="1567"/>
      <c r="E36" s="1620" t="s">
        <v>1309</v>
      </c>
      <c r="F36" s="1620"/>
      <c r="G36" s="1620"/>
      <c r="H36" s="1620"/>
      <c r="I36" s="1637" t="s">
        <v>493</v>
      </c>
      <c r="J36" s="1637"/>
      <c r="K36" s="1558" t="s">
        <v>1819</v>
      </c>
      <c r="L36" s="1558" t="s">
        <v>2230</v>
      </c>
      <c r="M36" s="1558" t="s">
        <v>2230</v>
      </c>
      <c r="N36" s="3484"/>
      <c r="O36" s="3484"/>
      <c r="P36" s="1637" t="s">
        <v>75</v>
      </c>
      <c r="Q36" s="1637"/>
      <c r="S36" s="1724" t="s">
        <v>2700</v>
      </c>
      <c r="T36" s="1724"/>
    </row>
    <row r="37" spans="1:20" s="278" customFormat="1" ht="14.25" customHeight="1">
      <c r="A37" s="305"/>
      <c r="B37" s="1725" t="s">
        <v>2631</v>
      </c>
      <c r="C37" s="1726"/>
      <c r="D37" s="1726"/>
      <c r="E37" s="3453" t="s">
        <v>4689</v>
      </c>
      <c r="F37" s="3454"/>
      <c r="G37" s="3454"/>
      <c r="H37" s="3455"/>
      <c r="I37" s="3485">
        <v>800000</v>
      </c>
      <c r="J37" s="3486"/>
      <c r="K37" s="3487">
        <v>6.25E-2</v>
      </c>
      <c r="L37" s="3428">
        <v>17</v>
      </c>
      <c r="M37" s="3428">
        <v>30</v>
      </c>
      <c r="N37" s="3488">
        <f t="shared" ref="N37:N41" si="0">IF(OR(I37&lt;=0,I37=""),"",IF(P37="Amortizing",-PMT(K37/12,M37*12,I37,0,0)*12,""))</f>
        <v>59108.851240933596</v>
      </c>
      <c r="O37" s="3488"/>
      <c r="P37" s="3489" t="s">
        <v>4617</v>
      </c>
      <c r="Q37" s="3489"/>
      <c r="S37" s="3429"/>
      <c r="T37" s="3430"/>
    </row>
    <row r="38" spans="1:20" s="278" customFormat="1" ht="14.25" customHeight="1">
      <c r="A38" s="305"/>
      <c r="B38" s="1707" t="s">
        <v>2632</v>
      </c>
      <c r="C38" s="1708"/>
      <c r="D38" s="1708"/>
      <c r="E38" s="3460" t="s">
        <v>4616</v>
      </c>
      <c r="F38" s="3461"/>
      <c r="G38" s="3461"/>
      <c r="H38" s="3462"/>
      <c r="I38" s="3490">
        <v>1200000</v>
      </c>
      <c r="J38" s="3491"/>
      <c r="K38" s="3492">
        <v>0.02</v>
      </c>
      <c r="L38" s="3431">
        <v>30</v>
      </c>
      <c r="M38" s="3431">
        <v>30</v>
      </c>
      <c r="N38" s="3493">
        <f t="shared" si="0"/>
        <v>53225.204067190156</v>
      </c>
      <c r="O38" s="3493"/>
      <c r="P38" s="3494" t="s">
        <v>4617</v>
      </c>
      <c r="Q38" s="3494"/>
      <c r="S38" s="3432"/>
      <c r="T38" s="3433"/>
    </row>
    <row r="39" spans="1:20" s="278" customFormat="1" ht="14.25" customHeight="1">
      <c r="A39" s="305"/>
      <c r="B39" s="1707" t="s">
        <v>2633</v>
      </c>
      <c r="C39" s="1708"/>
      <c r="D39" s="1708"/>
      <c r="E39" s="3460"/>
      <c r="F39" s="3461"/>
      <c r="G39" s="3461"/>
      <c r="H39" s="3462"/>
      <c r="I39" s="3490"/>
      <c r="J39" s="3491"/>
      <c r="K39" s="3492"/>
      <c r="L39" s="3431"/>
      <c r="M39" s="3431"/>
      <c r="N39" s="3493" t="str">
        <f t="shared" si="0"/>
        <v/>
      </c>
      <c r="O39" s="3493"/>
      <c r="P39" s="3494"/>
      <c r="Q39" s="3494"/>
      <c r="S39" s="3432"/>
      <c r="T39" s="3433"/>
    </row>
    <row r="40" spans="1:20" s="278" customFormat="1" ht="14.25" customHeight="1">
      <c r="A40" s="305"/>
      <c r="B40" s="1569" t="s">
        <v>749</v>
      </c>
      <c r="C40" s="3495"/>
      <c r="D40" s="3496"/>
      <c r="E40" s="3460"/>
      <c r="F40" s="3461"/>
      <c r="G40" s="3461"/>
      <c r="H40" s="3462"/>
      <c r="I40" s="3490"/>
      <c r="J40" s="3491"/>
      <c r="K40" s="3497"/>
      <c r="L40" s="3443"/>
      <c r="M40" s="3443"/>
      <c r="N40" s="3498" t="str">
        <f t="shared" si="0"/>
        <v/>
      </c>
      <c r="O40" s="3498"/>
      <c r="P40" s="3499"/>
      <c r="Q40" s="3499"/>
      <c r="S40" s="3432"/>
      <c r="T40" s="3433"/>
    </row>
    <row r="41" spans="1:20" s="278" customFormat="1" ht="14.25" customHeight="1">
      <c r="A41" s="305"/>
      <c r="B41" s="1569" t="s">
        <v>2768</v>
      </c>
      <c r="C41" s="1570"/>
      <c r="D41" s="1575"/>
      <c r="E41" s="3460"/>
      <c r="F41" s="3461"/>
      <c r="G41" s="3461"/>
      <c r="H41" s="3462"/>
      <c r="I41" s="3490"/>
      <c r="J41" s="3491"/>
      <c r="K41" s="480"/>
      <c r="L41" s="1573"/>
      <c r="M41" s="1573"/>
      <c r="N41" s="1716" t="str">
        <f t="shared" si="0"/>
        <v/>
      </c>
      <c r="O41" s="1716"/>
      <c r="P41" s="1717"/>
      <c r="Q41" s="1717"/>
      <c r="S41" s="3432"/>
      <c r="T41" s="3433"/>
    </row>
    <row r="42" spans="1:20" s="278" customFormat="1" ht="14.25" customHeight="1">
      <c r="A42" s="305"/>
      <c r="B42" s="1566" t="s">
        <v>230</v>
      </c>
      <c r="C42" s="1567"/>
      <c r="D42" s="382">
        <f>IF(OR(I42="",I42=0,'Part IV-A-Uses of Funds'!$G$118="",'Part IV-A-Uses of Funds'!$G$118=0),"",I42/'Part IV-A-Uses of Funds'!$G$118)</f>
        <v>5.461138211382114E-2</v>
      </c>
      <c r="E42" s="3467" t="s">
        <v>4618</v>
      </c>
      <c r="F42" s="3468"/>
      <c r="G42" s="3468"/>
      <c r="H42" s="3469"/>
      <c r="I42" s="3500">
        <v>67172</v>
      </c>
      <c r="J42" s="3501"/>
      <c r="K42" s="3502"/>
      <c r="L42" s="3446"/>
      <c r="M42" s="3446"/>
      <c r="N42" s="3503"/>
      <c r="O42" s="3504"/>
      <c r="P42" s="3505"/>
      <c r="Q42" s="3506"/>
      <c r="S42" s="3432"/>
      <c r="T42" s="3433"/>
    </row>
    <row r="43" spans="1:20" s="278" customFormat="1" ht="3" customHeight="1">
      <c r="A43" s="305"/>
      <c r="B43" s="305"/>
      <c r="C43" s="305"/>
      <c r="D43" s="305"/>
      <c r="E43" s="305"/>
      <c r="F43" s="305"/>
      <c r="G43" s="305"/>
      <c r="H43" s="305"/>
      <c r="I43" s="1616"/>
      <c r="J43" s="3507"/>
      <c r="K43" s="1615"/>
      <c r="L43" s="1571"/>
      <c r="M43" s="1571"/>
      <c r="N43" s="1617"/>
      <c r="O43" s="1617"/>
      <c r="P43" s="1571"/>
      <c r="Q43" s="1571"/>
      <c r="S43" s="3508"/>
      <c r="T43" s="3509"/>
    </row>
    <row r="44" spans="1:20" s="278" customFormat="1" ht="14.25" customHeight="1">
      <c r="A44" s="305"/>
      <c r="B44" s="1165" t="s">
        <v>4236</v>
      </c>
      <c r="C44" s="1570"/>
      <c r="E44" s="278" t="s">
        <v>4130</v>
      </c>
      <c r="F44" s="1714" t="e">
        <f>IF(OR($I$42="",$I$42=0,'Part VII-Pro Forma'!$S$33=0,'Part VII-Pro Forma'!$S$33=""),"",VLOOKUP($L$42,'Part VII-Pro Forma'!$Q$19:$S$38,3))</f>
        <v>#N/A</v>
      </c>
      <c r="G44" s="1715"/>
      <c r="H44" s="649" t="s">
        <v>4235</v>
      </c>
      <c r="I44" s="1720" t="e">
        <f>IF(OR($I$42="",$I$42=0,'Part VII-Pro Forma'!$R$33=0,'Part VII-Pro Forma'!$R$33=""),"",VLOOKUP($L$42,'Part VII-Pro Forma'!$Q$19:$S$33,2))</f>
        <v>#N/A</v>
      </c>
      <c r="J44" s="1721"/>
      <c r="K44" s="3510"/>
      <c r="L44" s="1571"/>
      <c r="M44" s="1571"/>
      <c r="N44" s="1617"/>
      <c r="O44" s="1617"/>
      <c r="P44" s="1571"/>
      <c r="Q44" s="1571"/>
      <c r="S44" s="3508"/>
      <c r="T44" s="3509"/>
    </row>
    <row r="45" spans="1:20" s="278" customFormat="1" ht="14.25" customHeight="1">
      <c r="A45" s="305"/>
      <c r="B45" s="1165" t="s">
        <v>4294</v>
      </c>
      <c r="C45" s="1570"/>
      <c r="D45" s="1166"/>
      <c r="F45" s="3511">
        <v>1</v>
      </c>
      <c r="G45" s="3512"/>
      <c r="H45" s="649" t="s">
        <v>4237</v>
      </c>
      <c r="I45" s="1718" t="e">
        <f>IF(OR($F$44 = 0,$F$44 =""),"",$I$44/$F$44)</f>
        <v>#N/A</v>
      </c>
      <c r="J45" s="1719"/>
      <c r="K45" s="1615"/>
      <c r="L45" s="1571"/>
      <c r="M45" s="1571"/>
      <c r="N45" s="1617"/>
      <c r="O45" s="1617"/>
      <c r="P45" s="1571"/>
      <c r="Q45" s="1571"/>
      <c r="S45" s="3508"/>
      <c r="T45" s="3509"/>
    </row>
    <row r="46" spans="1:20" s="278" customFormat="1" ht="3" customHeight="1">
      <c r="A46" s="305"/>
      <c r="B46" s="305"/>
      <c r="C46" s="305"/>
      <c r="D46" s="305"/>
      <c r="E46" s="305"/>
      <c r="F46" s="305"/>
      <c r="G46" s="305"/>
      <c r="H46" s="305"/>
      <c r="I46" s="3513"/>
      <c r="J46" s="3514"/>
      <c r="K46" s="1615"/>
      <c r="L46" s="1571"/>
      <c r="M46" s="1571"/>
      <c r="N46" s="1617"/>
      <c r="O46" s="1617"/>
      <c r="P46" s="1571"/>
      <c r="Q46" s="1571"/>
      <c r="S46" s="3508"/>
      <c r="T46" s="3509"/>
    </row>
    <row r="47" spans="1:20" s="278" customFormat="1" ht="14.25" customHeight="1">
      <c r="A47" s="305"/>
      <c r="B47" s="1704" t="s">
        <v>2231</v>
      </c>
      <c r="C47" s="1705"/>
      <c r="D47" s="1706"/>
      <c r="E47" s="3453"/>
      <c r="F47" s="3454"/>
      <c r="G47" s="3454"/>
      <c r="H47" s="3455"/>
      <c r="I47" s="3515"/>
      <c r="J47" s="3516"/>
      <c r="K47" s="383"/>
      <c r="L47" s="383"/>
      <c r="M47" s="383"/>
      <c r="N47" s="383"/>
      <c r="O47" s="383"/>
      <c r="P47" s="383"/>
      <c r="Q47" s="383"/>
      <c r="S47" s="3429"/>
      <c r="T47" s="3430"/>
    </row>
    <row r="48" spans="1:20" s="278" customFormat="1" ht="14.25" customHeight="1">
      <c r="A48" s="305"/>
      <c r="B48" s="1707" t="s">
        <v>809</v>
      </c>
      <c r="C48" s="1708"/>
      <c r="D48" s="1709"/>
      <c r="E48" s="3460"/>
      <c r="F48" s="3461"/>
      <c r="G48" s="3461"/>
      <c r="H48" s="3462"/>
      <c r="I48" s="3490"/>
      <c r="J48" s="3491"/>
      <c r="L48" s="1710" t="s">
        <v>522</v>
      </c>
      <c r="M48" s="1710"/>
      <c r="N48" s="1711" t="s">
        <v>523</v>
      </c>
      <c r="O48" s="1711"/>
      <c r="P48" s="413" t="s">
        <v>521</v>
      </c>
      <c r="Q48" s="383"/>
      <c r="S48" s="3432"/>
      <c r="T48" s="3433"/>
    </row>
    <row r="49" spans="1:23" s="278" customFormat="1" ht="14.25" customHeight="1">
      <c r="A49" s="305"/>
      <c r="B49" s="1707" t="s">
        <v>810</v>
      </c>
      <c r="C49" s="1708"/>
      <c r="D49" s="1709"/>
      <c r="E49" s="3460" t="s">
        <v>4658</v>
      </c>
      <c r="F49" s="3461"/>
      <c r="G49" s="3461"/>
      <c r="H49" s="3462"/>
      <c r="I49" s="3490">
        <v>6068393</v>
      </c>
      <c r="J49" s="3490"/>
      <c r="L49" s="1712">
        <f>'Part IV-A-Uses of Funds'!$J$175*10*'Part IV-A-Uses of Funds'!$N$168</f>
        <v>6069000</v>
      </c>
      <c r="M49" s="1712"/>
      <c r="N49" s="1713">
        <f>I49-L49</f>
        <v>-607</v>
      </c>
      <c r="O49" s="1713"/>
      <c r="P49" s="414" t="s">
        <v>2577</v>
      </c>
      <c r="Q49" s="383"/>
      <c r="S49" s="3432"/>
      <c r="T49" s="3433"/>
    </row>
    <row r="50" spans="1:23" s="278" customFormat="1" ht="14.25" customHeight="1">
      <c r="A50" s="305"/>
      <c r="B50" s="1707" t="s">
        <v>811</v>
      </c>
      <c r="C50" s="1708"/>
      <c r="D50" s="1709"/>
      <c r="E50" s="3460" t="s">
        <v>4658</v>
      </c>
      <c r="F50" s="3461"/>
      <c r="G50" s="3461"/>
      <c r="H50" s="3462"/>
      <c r="I50" s="3490">
        <v>3783822</v>
      </c>
      <c r="J50" s="3490"/>
      <c r="L50" s="1712">
        <f>'Part IV-A-Uses of Funds'!$J$175*10*'Part IV-A-Uses of Funds'!$Q$168</f>
        <v>3784200</v>
      </c>
      <c r="M50" s="1712"/>
      <c r="N50" s="1713">
        <f>I50-L50</f>
        <v>-378</v>
      </c>
      <c r="O50" s="1713"/>
      <c r="P50" s="415">
        <f>I49/I59</f>
        <v>0.5091195545542736</v>
      </c>
      <c r="Q50" s="383"/>
      <c r="S50" s="3432"/>
      <c r="T50" s="3433"/>
    </row>
    <row r="51" spans="1:23" s="278" customFormat="1" ht="14.25" customHeight="1">
      <c r="A51" s="305"/>
      <c r="B51" s="1707" t="s">
        <v>1422</v>
      </c>
      <c r="C51" s="1708"/>
      <c r="D51" s="1709"/>
      <c r="E51" s="3460"/>
      <c r="F51" s="3461"/>
      <c r="G51" s="3461"/>
      <c r="H51" s="3462"/>
      <c r="I51" s="3490"/>
      <c r="J51" s="3490"/>
      <c r="P51" s="415">
        <f>I50/I59</f>
        <v>0.3174510568370672</v>
      </c>
      <c r="Q51" s="383"/>
      <c r="S51" s="3436"/>
      <c r="T51" s="3437"/>
    </row>
    <row r="52" spans="1:23" s="278" customFormat="1" ht="14.25" customHeight="1">
      <c r="A52" s="305"/>
      <c r="B52" s="1569" t="s">
        <v>536</v>
      </c>
      <c r="C52" s="1570"/>
      <c r="D52" s="1575"/>
      <c r="E52" s="3460"/>
      <c r="F52" s="3461"/>
      <c r="G52" s="3461"/>
      <c r="H52" s="3462"/>
      <c r="I52" s="3490"/>
      <c r="J52" s="3490"/>
      <c r="K52" s="305"/>
      <c r="P52" s="416">
        <f>SUM(P50:P51)</f>
        <v>0.8265706113913408</v>
      </c>
      <c r="Q52" s="383"/>
      <c r="S52" s="3432"/>
      <c r="T52" s="3433"/>
    </row>
    <row r="53" spans="1:23" s="278" customFormat="1" ht="14.25" customHeight="1">
      <c r="A53" s="305"/>
      <c r="B53" s="1569" t="s">
        <v>1883</v>
      </c>
      <c r="C53" s="1570"/>
      <c r="D53" s="1575"/>
      <c r="E53" s="3460"/>
      <c r="F53" s="3461"/>
      <c r="G53" s="3461"/>
      <c r="H53" s="3462"/>
      <c r="I53" s="3490"/>
      <c r="J53" s="3490"/>
      <c r="N53" s="384"/>
      <c r="O53" s="384"/>
      <c r="P53" s="384"/>
      <c r="Q53" s="383"/>
      <c r="S53" s="3432"/>
      <c r="T53" s="3433"/>
    </row>
    <row r="54" spans="1:23" s="278" customFormat="1" ht="14.25" customHeight="1">
      <c r="A54" s="305"/>
      <c r="B54" s="1569" t="s">
        <v>1884</v>
      </c>
      <c r="C54" s="1570"/>
      <c r="D54" s="1575"/>
      <c r="E54" s="3460"/>
      <c r="F54" s="3461"/>
      <c r="G54" s="3461"/>
      <c r="H54" s="3462"/>
      <c r="I54" s="3490"/>
      <c r="J54" s="3490"/>
      <c r="M54" s="384"/>
      <c r="N54" s="384"/>
      <c r="O54" s="384"/>
      <c r="P54" s="384"/>
      <c r="Q54" s="383"/>
      <c r="S54" s="3432"/>
      <c r="T54" s="3433"/>
    </row>
    <row r="55" spans="1:23" s="278" customFormat="1" ht="14.25" customHeight="1">
      <c r="A55" s="305"/>
      <c r="B55" s="1569" t="s">
        <v>749</v>
      </c>
      <c r="C55" s="3479"/>
      <c r="D55" s="3479"/>
      <c r="E55" s="3460"/>
      <c r="F55" s="3461"/>
      <c r="G55" s="3461"/>
      <c r="H55" s="3462"/>
      <c r="I55" s="3490"/>
      <c r="J55" s="3490"/>
      <c r="M55" s="384"/>
      <c r="N55" s="384"/>
      <c r="O55" s="384"/>
      <c r="P55" s="384"/>
      <c r="Q55" s="383"/>
      <c r="S55" s="3432"/>
      <c r="T55" s="3433"/>
    </row>
    <row r="56" spans="1:23" s="278" customFormat="1" ht="14.25" customHeight="1">
      <c r="A56" s="305"/>
      <c r="B56" s="1569" t="s">
        <v>749</v>
      </c>
      <c r="C56" s="3480"/>
      <c r="D56" s="3480"/>
      <c r="E56" s="3460"/>
      <c r="F56" s="3461"/>
      <c r="G56" s="3461"/>
      <c r="H56" s="3462"/>
      <c r="I56" s="3490"/>
      <c r="J56" s="3490"/>
      <c r="K56" s="305"/>
      <c r="L56" s="385"/>
      <c r="M56" s="384"/>
      <c r="N56" s="384"/>
      <c r="O56" s="384"/>
      <c r="P56" s="384"/>
      <c r="Q56" s="383"/>
      <c r="S56" s="3432"/>
      <c r="T56" s="3433"/>
    </row>
    <row r="57" spans="1:23" s="278" customFormat="1" ht="14.25" customHeight="1">
      <c r="A57" s="305"/>
      <c r="B57" s="1566" t="s">
        <v>749</v>
      </c>
      <c r="C57" s="3481"/>
      <c r="D57" s="3481"/>
      <c r="E57" s="3467"/>
      <c r="F57" s="3468"/>
      <c r="G57" s="3468"/>
      <c r="H57" s="3469"/>
      <c r="I57" s="3517"/>
      <c r="J57" s="3517"/>
      <c r="K57" s="305"/>
      <c r="L57" s="385"/>
      <c r="M57" s="384"/>
      <c r="N57" s="384"/>
      <c r="O57" s="384"/>
      <c r="P57" s="384"/>
      <c r="Q57" s="383"/>
      <c r="S57" s="3432"/>
      <c r="T57" s="3433"/>
    </row>
    <row r="58" spans="1:23" s="278" customFormat="1" ht="14.25" customHeight="1">
      <c r="A58" s="305"/>
      <c r="B58" s="1559" t="s">
        <v>2232</v>
      </c>
      <c r="C58" s="305"/>
      <c r="D58" s="305"/>
      <c r="E58" s="305"/>
      <c r="F58" s="305"/>
      <c r="G58" s="305"/>
      <c r="I58" s="1698">
        <f>SUM(I37:J42)+SUM(I47:J57)</f>
        <v>11919387</v>
      </c>
      <c r="J58" s="1699"/>
      <c r="K58" s="305"/>
      <c r="L58" s="385"/>
      <c r="M58" s="384"/>
      <c r="N58" s="384"/>
      <c r="O58" s="384"/>
      <c r="P58" s="384"/>
      <c r="Q58" s="383"/>
      <c r="S58" s="3432"/>
      <c r="T58" s="3433"/>
    </row>
    <row r="59" spans="1:23" s="278" customFormat="1" ht="14.25" customHeight="1" thickBot="1">
      <c r="A59" s="305"/>
      <c r="B59" s="1559" t="s">
        <v>2233</v>
      </c>
      <c r="C59" s="305"/>
      <c r="D59" s="305"/>
      <c r="E59" s="305"/>
      <c r="F59" s="305"/>
      <c r="G59" s="305"/>
      <c r="I59" s="1700">
        <f>'Part IV-A-Uses of Funds'!$G$132</f>
        <v>11919387</v>
      </c>
      <c r="J59" s="1701"/>
      <c r="K59" s="305"/>
      <c r="L59" s="385"/>
      <c r="M59" s="384"/>
      <c r="N59" s="384"/>
      <c r="O59" s="384"/>
      <c r="P59" s="384"/>
      <c r="Q59" s="383"/>
      <c r="S59" s="3432"/>
      <c r="T59" s="3433"/>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6"/>
      <c r="T60" s="3437"/>
    </row>
    <row r="61" spans="1:23" s="278" customFormat="1" ht="13.3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0" t="s">
        <v>4720</v>
      </c>
      <c r="B64" s="3310"/>
      <c r="C64" s="3310"/>
      <c r="D64" s="3310"/>
      <c r="E64" s="3310"/>
      <c r="F64" s="3310"/>
      <c r="G64" s="3310"/>
      <c r="H64" s="3310"/>
      <c r="I64" s="3310"/>
      <c r="J64" s="3310"/>
      <c r="K64" s="3310"/>
      <c r="L64" s="3310"/>
      <c r="M64" s="3311"/>
      <c r="N64" s="3311"/>
      <c r="O64" s="3311"/>
      <c r="P64" s="3311"/>
      <c r="Q64" s="3311"/>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Vb7oQNvgqVYC2mEYt+6czXwPtFvefvW9qHuwHNkFYTmIDfQl7k4YKVkRZ18SogcyaNEdWXHFTMJp0eFxtwP3eQ==" saltValue="/6OfZotPK0Lz0fkryN4vK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350000000000001"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3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3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3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350000000000001"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3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8" zoomScale="125" zoomScaleNormal="125" zoomScalePageLayoutView="125"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42578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2018-046 Abbington on Cheshire Bridge, Atlanta, Fulton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2018-046 Abbington on Cheshire Bridge, Atlanta, Fulton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0">
        <v>7500</v>
      </c>
      <c r="H8" s="3351"/>
      <c r="J8" s="3350">
        <v>7500</v>
      </c>
      <c r="K8" s="3351"/>
      <c r="L8" s="1580"/>
      <c r="M8" s="3350"/>
      <c r="N8" s="3351"/>
      <c r="P8" s="3350"/>
      <c r="Q8" s="3351"/>
      <c r="S8" s="3350"/>
      <c r="T8" s="3351"/>
      <c r="V8" s="3352"/>
      <c r="W8" s="3353"/>
      <c r="X8" s="3354"/>
    </row>
    <row r="9" spans="1:24" s="305" customFormat="1" ht="12.6" customHeight="1">
      <c r="B9" s="305" t="s">
        <v>461</v>
      </c>
      <c r="G9" s="3355">
        <v>9500</v>
      </c>
      <c r="H9" s="3356"/>
      <c r="J9" s="3350">
        <v>9500</v>
      </c>
      <c r="K9" s="3351"/>
      <c r="L9" s="1580"/>
      <c r="M9" s="3355"/>
      <c r="N9" s="3356"/>
      <c r="P9" s="3355"/>
      <c r="Q9" s="3356"/>
      <c r="S9" s="3355"/>
      <c r="T9" s="3356"/>
      <c r="V9" s="3352"/>
      <c r="W9" s="3353"/>
      <c r="X9" s="3354"/>
    </row>
    <row r="10" spans="1:24" s="305" customFormat="1" ht="12.6" customHeight="1">
      <c r="B10" s="305" t="s">
        <v>491</v>
      </c>
      <c r="G10" s="3355">
        <v>20000</v>
      </c>
      <c r="H10" s="3356"/>
      <c r="J10" s="3350">
        <v>20000</v>
      </c>
      <c r="K10" s="3351"/>
      <c r="L10" s="1580"/>
      <c r="M10" s="3355"/>
      <c r="N10" s="3356"/>
      <c r="P10" s="3355"/>
      <c r="Q10" s="3356"/>
      <c r="S10" s="3355"/>
      <c r="T10" s="3356"/>
      <c r="V10" s="3352"/>
      <c r="W10" s="3353"/>
      <c r="X10" s="3354"/>
    </row>
    <row r="11" spans="1:24" s="305" customFormat="1" ht="12.6" customHeight="1">
      <c r="B11" s="305" t="s">
        <v>492</v>
      </c>
      <c r="G11" s="3355">
        <v>16500</v>
      </c>
      <c r="H11" s="3356"/>
      <c r="J11" s="3350">
        <v>16500</v>
      </c>
      <c r="K11" s="3351"/>
      <c r="L11" s="1580"/>
      <c r="M11" s="3355"/>
      <c r="N11" s="3356"/>
      <c r="P11" s="3355"/>
      <c r="Q11" s="3356"/>
      <c r="S11" s="3355"/>
      <c r="T11" s="3356"/>
      <c r="V11" s="3352"/>
      <c r="W11" s="3353"/>
      <c r="X11" s="3354"/>
    </row>
    <row r="12" spans="1:24" s="305" customFormat="1" ht="12.6" customHeight="1">
      <c r="B12" s="305" t="s">
        <v>2516</v>
      </c>
      <c r="G12" s="3355">
        <f>32000-20000</f>
        <v>12000</v>
      </c>
      <c r="H12" s="3356"/>
      <c r="J12" s="3350">
        <v>12000</v>
      </c>
      <c r="K12" s="3351"/>
      <c r="L12" s="1580"/>
      <c r="M12" s="3355"/>
      <c r="N12" s="3356"/>
      <c r="P12" s="3355"/>
      <c r="Q12" s="3356"/>
      <c r="S12" s="3355"/>
      <c r="T12" s="3356"/>
      <c r="V12" s="3352"/>
      <c r="W12" s="3353"/>
      <c r="X12" s="3354"/>
    </row>
    <row r="13" spans="1:24" s="305" customFormat="1" ht="12.6" customHeight="1">
      <c r="B13" s="305" t="s">
        <v>192</v>
      </c>
      <c r="G13" s="3355">
        <v>750</v>
      </c>
      <c r="H13" s="3356"/>
      <c r="J13" s="3355">
        <f>G13</f>
        <v>750</v>
      </c>
      <c r="K13" s="3356"/>
      <c r="L13" s="1580"/>
      <c r="M13" s="3355"/>
      <c r="N13" s="3356"/>
      <c r="P13" s="3355"/>
      <c r="Q13" s="3356"/>
      <c r="S13" s="3355"/>
      <c r="T13" s="3356"/>
      <c r="V13" s="3352"/>
      <c r="W13" s="3353"/>
      <c r="X13" s="3354"/>
    </row>
    <row r="14" spans="1:24" s="305" customFormat="1" ht="12.6" customHeight="1">
      <c r="A14" s="387" t="str">
        <f>IF(AND(G14&gt;0,OR(C14="",C14="&lt;Enter detailed description here; use Comments section if needed&gt;")),"X","")</f>
        <v/>
      </c>
      <c r="B14" s="305" t="s">
        <v>749</v>
      </c>
      <c r="C14" s="3357" t="s">
        <v>3737</v>
      </c>
      <c r="D14" s="3357"/>
      <c r="E14" s="3357"/>
      <c r="F14" s="3358"/>
      <c r="G14" s="3355"/>
      <c r="H14" s="3356"/>
      <c r="J14" s="3355"/>
      <c r="K14" s="3356"/>
      <c r="L14" s="1580"/>
      <c r="M14" s="3355"/>
      <c r="N14" s="3356"/>
      <c r="P14" s="3355"/>
      <c r="Q14" s="3356"/>
      <c r="S14" s="3355"/>
      <c r="T14" s="3356"/>
      <c r="U14" s="386" t="str">
        <f>IF(AND(G14&gt;0,OR(C14="",C14="&lt;Enter detailed description here; use Comments section if needed&gt;")),"NO DESCRIPTION PROVIDED - please enter detailed description in Other box at left; use Comments section below if needed.","")</f>
        <v/>
      </c>
      <c r="V14" s="3359"/>
      <c r="W14" s="3353"/>
      <c r="X14" s="3354"/>
    </row>
    <row r="15" spans="1:24" s="305" customFormat="1" ht="12.6" customHeight="1">
      <c r="A15" s="387" t="str">
        <f>IF(AND(G15&gt;0,OR(C15="",C15="&lt;Enter detailed description here; use Comments section if needed&gt;")),"X","")</f>
        <v/>
      </c>
      <c r="B15" s="305" t="s">
        <v>749</v>
      </c>
      <c r="C15" s="3357" t="s">
        <v>3737</v>
      </c>
      <c r="D15" s="3357"/>
      <c r="E15" s="3357"/>
      <c r="F15" s="3358"/>
      <c r="G15" s="3355"/>
      <c r="H15" s="3356"/>
      <c r="J15" s="3355"/>
      <c r="K15" s="3356"/>
      <c r="L15" s="1580"/>
      <c r="M15" s="3355"/>
      <c r="N15" s="3356"/>
      <c r="P15" s="3355"/>
      <c r="Q15" s="3356"/>
      <c r="S15" s="3355"/>
      <c r="T15" s="3356"/>
      <c r="U15" s="386" t="str">
        <f>IF(AND(G15&gt;0,OR(C15="",C15="&lt;Enter detailed description here; use Comments section if needed&gt;")),"NO DESCRIPTION PROVIDED - please enter detailed description in Other box at left; use Comments section below if needed.","")</f>
        <v/>
      </c>
      <c r="V15" s="3359"/>
      <c r="W15" s="3353"/>
      <c r="X15" s="3354"/>
    </row>
    <row r="16" spans="1:24" s="305" customFormat="1" ht="12.6" customHeight="1" thickBot="1">
      <c r="A16" s="387" t="str">
        <f>IF(AND(G16&gt;0,OR(C16="",C16="&lt;Enter detailed description here; use Comments section if needed&gt;")),"X","")</f>
        <v/>
      </c>
      <c r="B16" s="305" t="s">
        <v>749</v>
      </c>
      <c r="C16" s="3357" t="s">
        <v>3737</v>
      </c>
      <c r="D16" s="3357"/>
      <c r="E16" s="3357"/>
      <c r="F16" s="3358"/>
      <c r="G16" s="3360"/>
      <c r="H16" s="3361"/>
      <c r="J16" s="3360"/>
      <c r="K16" s="3361"/>
      <c r="L16" s="1580"/>
      <c r="M16" s="3360"/>
      <c r="N16" s="3361"/>
      <c r="P16" s="3360"/>
      <c r="Q16" s="3361"/>
      <c r="S16" s="3360"/>
      <c r="T16" s="3361"/>
      <c r="U16" s="386" t="str">
        <f>IF(AND(G16&gt;0,OR(C16="",C16="&lt;Enter detailed description here; use Comments section if needed&gt;")),"NO DESCRIPTION PROVIDED - please enter detailed description in Other box at left; use Comments section below if needed.","")</f>
        <v/>
      </c>
      <c r="V16" s="3359"/>
      <c r="W16" s="3362"/>
      <c r="X16" s="3363"/>
    </row>
    <row r="17" spans="2:24" s="305" customFormat="1" ht="12.6" customHeight="1" thickTop="1">
      <c r="F17" s="361" t="s">
        <v>193</v>
      </c>
      <c r="G17" s="1800">
        <f>SUM(G8:H16)</f>
        <v>66250</v>
      </c>
      <c r="H17" s="1801"/>
      <c r="J17" s="1800">
        <f>SUM(J8:K16)</f>
        <v>66250</v>
      </c>
      <c r="K17" s="1826"/>
      <c r="L17" s="1580"/>
      <c r="M17" s="1800">
        <f>SUM(M8:N16)</f>
        <v>0</v>
      </c>
      <c r="N17" s="1801"/>
      <c r="P17" s="1800">
        <f>SUM(P8:Q16)</f>
        <v>0</v>
      </c>
      <c r="Q17" s="1801"/>
      <c r="S17" s="1800">
        <f>SUM(S8:T16)</f>
        <v>0</v>
      </c>
      <c r="T17" s="1801"/>
      <c r="V17" s="3364">
        <f>SUM(V8:V16)</f>
        <v>0</v>
      </c>
      <c r="W17" s="3365"/>
      <c r="X17" s="3366"/>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0">
        <v>1850000</v>
      </c>
      <c r="H19" s="3351"/>
      <c r="J19" s="363"/>
      <c r="K19" s="360"/>
      <c r="L19" s="363"/>
      <c r="M19" s="363"/>
      <c r="N19" s="360"/>
      <c r="P19" s="363"/>
      <c r="Q19" s="360"/>
      <c r="S19" s="3350">
        <v>1850000</v>
      </c>
      <c r="T19" s="3351"/>
      <c r="V19" s="3352"/>
      <c r="W19" s="3353"/>
      <c r="X19" s="3354"/>
    </row>
    <row r="20" spans="2:24" s="305" customFormat="1" ht="12.6" customHeight="1">
      <c r="B20" s="305" t="s">
        <v>1129</v>
      </c>
      <c r="G20" s="3355"/>
      <c r="H20" s="3356"/>
      <c r="J20" s="363"/>
      <c r="K20" s="360"/>
      <c r="L20" s="363"/>
      <c r="M20" s="363"/>
      <c r="N20" s="360"/>
      <c r="P20" s="363"/>
      <c r="Q20" s="360"/>
      <c r="S20" s="3355"/>
      <c r="T20" s="3356"/>
      <c r="V20" s="3352"/>
      <c r="W20" s="3353"/>
      <c r="X20" s="3354"/>
    </row>
    <row r="21" spans="2:24" s="305" customFormat="1" ht="12.6" customHeight="1">
      <c r="B21" s="305" t="s">
        <v>462</v>
      </c>
      <c r="G21" s="3355"/>
      <c r="H21" s="3356"/>
      <c r="J21" s="363"/>
      <c r="K21" s="360"/>
      <c r="L21" s="363"/>
      <c r="M21" s="3350"/>
      <c r="N21" s="3351"/>
      <c r="P21" s="363"/>
      <c r="Q21" s="360"/>
      <c r="S21" s="3355"/>
      <c r="T21" s="3356"/>
      <c r="V21" s="3352"/>
      <c r="W21" s="3353"/>
      <c r="X21" s="3354"/>
    </row>
    <row r="22" spans="2:24" s="305" customFormat="1" ht="12.6" customHeight="1" thickBot="1">
      <c r="B22" s="305" t="s">
        <v>432</v>
      </c>
      <c r="G22" s="3360"/>
      <c r="H22" s="3361"/>
      <c r="J22" s="363"/>
      <c r="K22" s="360"/>
      <c r="L22" s="363"/>
      <c r="M22" s="3360"/>
      <c r="N22" s="3361"/>
      <c r="P22" s="363"/>
      <c r="Q22" s="360"/>
      <c r="S22" s="3360"/>
      <c r="T22" s="3361"/>
      <c r="V22" s="3352"/>
      <c r="W22" s="3362"/>
      <c r="X22" s="3363"/>
    </row>
    <row r="23" spans="2:24" s="305" customFormat="1" ht="12.6" customHeight="1" thickTop="1">
      <c r="F23" s="361" t="s">
        <v>193</v>
      </c>
      <c r="G23" s="1800">
        <f>SUM(G19:H22)</f>
        <v>1850000</v>
      </c>
      <c r="H23" s="1801"/>
      <c r="J23" s="363"/>
      <c r="K23" s="360"/>
      <c r="L23" s="363"/>
      <c r="M23" s="1800">
        <f>SUM(M21:N22)</f>
        <v>0</v>
      </c>
      <c r="N23" s="1801"/>
      <c r="P23" s="363"/>
      <c r="Q23" s="360"/>
      <c r="S23" s="1800">
        <f>SUM(S19:T22)</f>
        <v>1850000</v>
      </c>
      <c r="T23" s="1801"/>
      <c r="V23" s="3364">
        <f>SUM(V19:V22)</f>
        <v>0</v>
      </c>
      <c r="W23" s="3365"/>
      <c r="X23" s="3366"/>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3753</v>
      </c>
      <c r="F25" s="481">
        <f>IF('Part I-Project Information'!$O$37="","",G25/'Part I-Project Information'!$O$37)</f>
        <v>670391.06145251391</v>
      </c>
      <c r="G25" s="3350">
        <v>1200000</v>
      </c>
      <c r="H25" s="3351"/>
      <c r="J25" s="3350">
        <v>1200000</v>
      </c>
      <c r="K25" s="3351"/>
      <c r="L25" s="1580"/>
      <c r="M25" s="3367"/>
      <c r="N25" s="3368"/>
      <c r="P25" s="3367"/>
      <c r="Q25" s="3368"/>
      <c r="S25" s="3350"/>
      <c r="T25" s="3351"/>
      <c r="V25" s="3352"/>
      <c r="W25" s="3353"/>
      <c r="X25" s="3354"/>
    </row>
    <row r="26" spans="2:24" s="305" customFormat="1" ht="12.6" customHeight="1" thickBot="1">
      <c r="B26" s="305" t="s">
        <v>1132</v>
      </c>
      <c r="G26" s="3360"/>
      <c r="H26" s="3361"/>
      <c r="J26" s="3360"/>
      <c r="K26" s="3361"/>
      <c r="L26" s="364"/>
      <c r="M26" s="1825"/>
      <c r="N26" s="1825"/>
      <c r="P26" s="1825"/>
      <c r="Q26" s="1825"/>
      <c r="S26" s="3360"/>
      <c r="T26" s="3361"/>
      <c r="V26" s="3352"/>
      <c r="W26" s="3362"/>
      <c r="X26" s="3363"/>
    </row>
    <row r="27" spans="2:24" s="305" customFormat="1" ht="12.6" customHeight="1" thickTop="1">
      <c r="F27" s="361" t="s">
        <v>193</v>
      </c>
      <c r="G27" s="1800">
        <f>SUM(G25:H26)</f>
        <v>1200000</v>
      </c>
      <c r="H27" s="1801"/>
      <c r="J27" s="1800">
        <f>SUM(J25:K26)</f>
        <v>1200000</v>
      </c>
      <c r="K27" s="1801"/>
      <c r="L27" s="363"/>
      <c r="M27" s="1800">
        <f>M25</f>
        <v>0</v>
      </c>
      <c r="N27" s="1801"/>
      <c r="P27" s="1800">
        <f>P25</f>
        <v>0</v>
      </c>
      <c r="Q27" s="1801"/>
      <c r="S27" s="1800">
        <f>SUM(S25:T26)</f>
        <v>0</v>
      </c>
      <c r="T27" s="1801"/>
      <c r="V27" s="3364">
        <f>SUM(V25:V26)</f>
        <v>0</v>
      </c>
      <c r="W27" s="3365"/>
      <c r="X27" s="3366"/>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0">
        <v>4628400</v>
      </c>
      <c r="H29" s="3351"/>
      <c r="J29" s="3350">
        <v>4628400</v>
      </c>
      <c r="K29" s="3351"/>
      <c r="L29" s="1580"/>
      <c r="M29" s="3350"/>
      <c r="N29" s="3351"/>
      <c r="P29" s="3350"/>
      <c r="Q29" s="3351"/>
      <c r="S29" s="3350"/>
      <c r="T29" s="3351"/>
      <c r="V29" s="3352"/>
      <c r="W29" s="3353"/>
      <c r="X29" s="3354"/>
    </row>
    <row r="30" spans="2:24" s="305" customFormat="1" ht="12.6" customHeight="1">
      <c r="B30" s="305" t="s">
        <v>1135</v>
      </c>
      <c r="G30" s="3355"/>
      <c r="H30" s="3356"/>
      <c r="J30" s="3355"/>
      <c r="K30" s="3356"/>
      <c r="L30" s="1580"/>
      <c r="M30" s="3355"/>
      <c r="N30" s="3356"/>
      <c r="P30" s="3355"/>
      <c r="Q30" s="3356"/>
      <c r="S30" s="3355"/>
      <c r="T30" s="3356"/>
      <c r="V30" s="3352"/>
      <c r="W30" s="3353"/>
      <c r="X30" s="3354"/>
    </row>
    <row r="31" spans="2:24" s="305" customFormat="1" ht="12.6" customHeight="1">
      <c r="B31" s="305" t="s">
        <v>2799</v>
      </c>
      <c r="G31" s="3355"/>
      <c r="H31" s="3356"/>
      <c r="J31" s="3355"/>
      <c r="K31" s="3356"/>
      <c r="L31" s="1580"/>
      <c r="M31" s="3355"/>
      <c r="N31" s="3356"/>
      <c r="P31" s="3355"/>
      <c r="Q31" s="3356"/>
      <c r="S31" s="3355"/>
      <c r="T31" s="3356"/>
      <c r="V31" s="3352"/>
      <c r="W31" s="3353"/>
      <c r="X31" s="3354"/>
    </row>
    <row r="32" spans="2:24" ht="12.6" customHeight="1" thickBot="1">
      <c r="B32" s="305" t="s">
        <v>2798</v>
      </c>
      <c r="G32" s="3360"/>
      <c r="H32" s="3361"/>
      <c r="I32" s="305"/>
      <c r="J32" s="3360"/>
      <c r="K32" s="3361"/>
      <c r="L32" s="1580"/>
      <c r="M32" s="3360"/>
      <c r="N32" s="3361"/>
      <c r="O32" s="305"/>
      <c r="P32" s="3360"/>
      <c r="Q32" s="3361"/>
      <c r="R32" s="305"/>
      <c r="S32" s="3360"/>
      <c r="T32" s="3361"/>
      <c r="V32" s="3352"/>
      <c r="W32" s="3362"/>
      <c r="X32" s="3363"/>
    </row>
    <row r="33" spans="1:24" s="305" customFormat="1" ht="12.6" customHeight="1" thickTop="1">
      <c r="C33" s="1824"/>
      <c r="D33" s="1824"/>
      <c r="E33" s="1576"/>
      <c r="F33" s="361" t="s">
        <v>193</v>
      </c>
      <c r="G33" s="1800">
        <f>SUM(G29:H32)</f>
        <v>4628400</v>
      </c>
      <c r="H33" s="1801"/>
      <c r="J33" s="1800">
        <f>SUM(J29:K32)</f>
        <v>4628400</v>
      </c>
      <c r="K33" s="1801"/>
      <c r="L33" s="1580"/>
      <c r="M33" s="1800">
        <f>SUM(M29:N32)</f>
        <v>0</v>
      </c>
      <c r="N33" s="1801"/>
      <c r="P33" s="1800">
        <f>SUM(P29:Q32)</f>
        <v>0</v>
      </c>
      <c r="Q33" s="1801"/>
      <c r="S33" s="1800">
        <f>SUM(S29:T32)</f>
        <v>0</v>
      </c>
      <c r="T33" s="1801"/>
      <c r="V33" s="3364">
        <f>SUM(V29:V32)</f>
        <v>0</v>
      </c>
      <c r="W33" s="3365"/>
      <c r="X33" s="3366"/>
    </row>
    <row r="34" spans="1:24" s="305" customFormat="1" ht="12" customHeight="1">
      <c r="B34" s="307" t="s">
        <v>2359</v>
      </c>
      <c r="D34" s="1823" t="s">
        <v>3757</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349704</v>
      </c>
      <c r="F35" s="1045">
        <f>IF(($G$27+$G$33)=0,0,G35/($G$27+$G$33))</f>
        <v>0.06</v>
      </c>
      <c r="G35" s="3369">
        <v>349704</v>
      </c>
      <c r="H35" s="3351"/>
      <c r="I35" s="324"/>
      <c r="J35" s="3369">
        <v>349704</v>
      </c>
      <c r="K35" s="3351"/>
      <c r="L35" s="1580"/>
      <c r="M35" s="3350"/>
      <c r="N35" s="3351"/>
      <c r="P35" s="3350"/>
      <c r="Q35" s="3351"/>
      <c r="S35" s="3350"/>
      <c r="T35" s="3351"/>
      <c r="V35" s="3352"/>
      <c r="W35" s="3353"/>
      <c r="X35" s="3354"/>
    </row>
    <row r="36" spans="1:24" s="305" customFormat="1" ht="12.6" customHeight="1">
      <c r="B36" s="305" t="s">
        <v>2755</v>
      </c>
      <c r="D36" s="1047">
        <f>'DCA Underwriting Assumptions'!$R$75</f>
        <v>0.02</v>
      </c>
      <c r="E36" s="1048">
        <f>D36*(G27+G33)</f>
        <v>116568</v>
      </c>
      <c r="F36" s="1045">
        <f>IF(($G$27+$G$33)=0,0,G36/($G$27+$G$33))</f>
        <v>0.02</v>
      </c>
      <c r="G36" s="3370">
        <v>116568</v>
      </c>
      <c r="H36" s="3356"/>
      <c r="I36" s="324"/>
      <c r="J36" s="3370">
        <v>116568</v>
      </c>
      <c r="K36" s="3356"/>
      <c r="L36" s="1580"/>
      <c r="M36" s="3355"/>
      <c r="N36" s="3356"/>
      <c r="P36" s="3355"/>
      <c r="Q36" s="3356"/>
      <c r="S36" s="3355"/>
      <c r="T36" s="3356"/>
      <c r="V36" s="3352"/>
      <c r="W36" s="3353"/>
      <c r="X36" s="3354"/>
    </row>
    <row r="37" spans="1:24" s="305" customFormat="1" ht="12.6" customHeight="1" thickBot="1">
      <c r="B37" s="305" t="s">
        <v>2756</v>
      </c>
      <c r="D37" s="1051">
        <f>'DCA Underwriting Assumptions'!$R$76</f>
        <v>0.06</v>
      </c>
      <c r="E37" s="1052">
        <f>D37*(G27+G33)</f>
        <v>349704</v>
      </c>
      <c r="F37" s="1367">
        <f>IF(($G$27+$G$33)=0,0,G37/($G$27+$G$33))</f>
        <v>0.06</v>
      </c>
      <c r="G37" s="3371">
        <v>349704</v>
      </c>
      <c r="H37" s="3361"/>
      <c r="I37" s="324"/>
      <c r="J37" s="3371">
        <v>349704</v>
      </c>
      <c r="K37" s="3361"/>
      <c r="L37" s="1580"/>
      <c r="M37" s="3360"/>
      <c r="N37" s="3361"/>
      <c r="P37" s="3360"/>
      <c r="Q37" s="3361"/>
      <c r="S37" s="3360"/>
      <c r="T37" s="3361"/>
      <c r="V37" s="3352"/>
      <c r="W37" s="3362"/>
      <c r="X37" s="3363"/>
    </row>
    <row r="38" spans="1:24" s="305" customFormat="1" ht="12.6" customHeight="1" thickTop="1">
      <c r="B38" s="179" t="s">
        <v>3758</v>
      </c>
      <c r="D38" s="1049">
        <f>SUM(D35:D37)</f>
        <v>0.14000000000000001</v>
      </c>
      <c r="E38" s="1050">
        <f>SUM(E35:E37)</f>
        <v>815976</v>
      </c>
      <c r="F38" s="1031" t="s">
        <v>193</v>
      </c>
      <c r="G38" s="1800">
        <f>SUM(G35:H37)</f>
        <v>815976</v>
      </c>
      <c r="H38" s="1801"/>
      <c r="J38" s="1800">
        <f>SUM(J35:K37)</f>
        <v>815976</v>
      </c>
      <c r="K38" s="1801"/>
      <c r="L38" s="363"/>
      <c r="M38" s="1800">
        <f>SUM(M35:N37)</f>
        <v>0</v>
      </c>
      <c r="N38" s="1801"/>
      <c r="P38" s="1800">
        <f>SUM(P35:Q37)</f>
        <v>0</v>
      </c>
      <c r="Q38" s="1801"/>
      <c r="S38" s="1800">
        <f>SUM(S35:T37)</f>
        <v>0</v>
      </c>
      <c r="T38" s="1801"/>
      <c r="V38" s="3364">
        <f>SUM(V35:V37)</f>
        <v>0</v>
      </c>
      <c r="W38" s="3365"/>
      <c r="X38" s="3366"/>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7" t="s">
        <v>3737</v>
      </c>
      <c r="D41" s="3372"/>
      <c r="E41" s="3372"/>
      <c r="F41" s="3373"/>
      <c r="G41" s="3374"/>
      <c r="H41" s="3375"/>
      <c r="I41" s="305"/>
      <c r="J41" s="3374"/>
      <c r="K41" s="3375"/>
      <c r="L41" s="1580"/>
      <c r="M41" s="3374"/>
      <c r="N41" s="3375"/>
      <c r="O41" s="305"/>
      <c r="P41" s="3374"/>
      <c r="Q41" s="3375"/>
      <c r="R41" s="305"/>
      <c r="S41" s="3374"/>
      <c r="T41" s="3375"/>
      <c r="V41" s="3352"/>
      <c r="W41" s="3376"/>
      <c r="X41" s="3377"/>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8"/>
      <c r="X42" s="3379"/>
    </row>
    <row r="43" spans="1:24" s="305" customFormat="1" ht="12.6" customHeight="1">
      <c r="B43" s="529" t="s">
        <v>2764</v>
      </c>
      <c r="C43" s="530"/>
      <c r="E43" s="1817" t="s">
        <v>2763</v>
      </c>
      <c r="F43" s="1578">
        <f>B44/'Part VI-Revenues &amp; Expenses'!$O$60</f>
        <v>138424.5</v>
      </c>
      <c r="G43" s="1579" t="s">
        <v>2790</v>
      </c>
      <c r="H43" s="1574"/>
      <c r="I43" s="1574"/>
      <c r="J43" s="1819">
        <f>B44/'Part VI-Revenues &amp; Expenses'!$O$62</f>
        <v>138424.5</v>
      </c>
      <c r="K43" s="1819"/>
      <c r="L43" s="1574"/>
      <c r="M43" s="1820" t="s">
        <v>1414</v>
      </c>
      <c r="N43" s="1820"/>
      <c r="O43" s="1574"/>
      <c r="P43" s="1819">
        <f>B44/'Part I-Project Information'!$P$71</f>
        <v>115.75366282817373</v>
      </c>
      <c r="Q43" s="1819"/>
      <c r="R43" s="1574"/>
      <c r="S43" s="1821" t="s">
        <v>2797</v>
      </c>
      <c r="T43" s="1822"/>
      <c r="V43" s="1176"/>
      <c r="W43" s="3378"/>
      <c r="X43" s="3379"/>
    </row>
    <row r="44" spans="1:24" s="305" customFormat="1" ht="12.6" customHeight="1">
      <c r="B44" s="1813">
        <f>G27+G33+G38+G41</f>
        <v>6644376</v>
      </c>
      <c r="C44" s="1814"/>
      <c r="E44" s="1818"/>
      <c r="F44" s="1577">
        <f>B44/'Part VI-Revenues &amp; Expenses'!$O$117</f>
        <v>133.11648034619546</v>
      </c>
      <c r="G44" s="528" t="s">
        <v>2791</v>
      </c>
      <c r="H44" s="1567"/>
      <c r="I44" s="1567"/>
      <c r="J44" s="1815">
        <f>B44/'Part VI-Revenues &amp; Expenses'!$O$119</f>
        <v>133.11648034619546</v>
      </c>
      <c r="K44" s="1815"/>
      <c r="L44" s="1567"/>
      <c r="M44" s="1816" t="s">
        <v>2796</v>
      </c>
      <c r="N44" s="1816"/>
      <c r="O44" s="1567"/>
      <c r="P44" s="1567"/>
      <c r="Q44" s="1567"/>
      <c r="R44" s="1567"/>
      <c r="S44" s="1567"/>
      <c r="T44" s="353"/>
      <c r="V44" s="1176"/>
      <c r="W44" s="3380"/>
      <c r="X44" s="3381"/>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332218.80000000005</v>
      </c>
      <c r="F47" s="365">
        <f>G47/B44</f>
        <v>4.9999879597421942E-2</v>
      </c>
      <c r="G47" s="3382">
        <v>332218</v>
      </c>
      <c r="H47" s="3375"/>
      <c r="I47" s="305"/>
      <c r="J47" s="3382">
        <v>332218</v>
      </c>
      <c r="K47" s="3375"/>
      <c r="L47" s="1580"/>
      <c r="M47" s="3374"/>
      <c r="N47" s="3375"/>
      <c r="O47" s="305"/>
      <c r="P47" s="3374"/>
      <c r="Q47" s="3375"/>
      <c r="R47" s="305"/>
      <c r="S47" s="3374"/>
      <c r="T47" s="3375"/>
      <c r="V47" s="3352"/>
      <c r="W47" s="3353"/>
      <c r="X47" s="3354"/>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3759</v>
      </c>
      <c r="G52" s="3350"/>
      <c r="H52" s="3351"/>
      <c r="J52" s="3350"/>
      <c r="K52" s="3351"/>
      <c r="L52" s="1580"/>
      <c r="M52" s="3350"/>
      <c r="N52" s="3351"/>
      <c r="P52" s="3350"/>
      <c r="Q52" s="3351"/>
      <c r="S52" s="3350"/>
      <c r="T52" s="3351"/>
      <c r="V52" s="3383"/>
      <c r="W52" s="3353"/>
      <c r="X52" s="3354"/>
    </row>
    <row r="53" spans="1:24" s="305" customFormat="1" ht="12" customHeight="1">
      <c r="B53" s="305" t="s">
        <v>3760</v>
      </c>
      <c r="G53" s="3355"/>
      <c r="H53" s="3356"/>
      <c r="J53" s="3355"/>
      <c r="K53" s="3356"/>
      <c r="L53" s="1580"/>
      <c r="M53" s="3355"/>
      <c r="N53" s="3356"/>
      <c r="P53" s="3355"/>
      <c r="Q53" s="3356"/>
      <c r="S53" s="3355"/>
      <c r="T53" s="3356"/>
      <c r="V53" s="3383"/>
      <c r="W53" s="3353"/>
      <c r="X53" s="3354"/>
    </row>
    <row r="54" spans="1:24" s="305" customFormat="1" ht="12" customHeight="1">
      <c r="B54" s="305" t="s">
        <v>2362</v>
      </c>
      <c r="G54" s="3355">
        <v>51490</v>
      </c>
      <c r="H54" s="3356"/>
      <c r="J54" s="3355">
        <v>51490</v>
      </c>
      <c r="K54" s="3356"/>
      <c r="L54" s="1580"/>
      <c r="M54" s="3355"/>
      <c r="N54" s="3356"/>
      <c r="P54" s="3355"/>
      <c r="Q54" s="3356"/>
      <c r="S54" s="3355"/>
      <c r="T54" s="3356"/>
      <c r="V54" s="3383"/>
      <c r="W54" s="3353"/>
      <c r="X54" s="3354"/>
    </row>
    <row r="55" spans="1:24" s="305" customFormat="1" ht="12" customHeight="1">
      <c r="B55" s="305" t="s">
        <v>2363</v>
      </c>
      <c r="G55" s="3355">
        <v>355246</v>
      </c>
      <c r="H55" s="3356"/>
      <c r="J55" s="3355">
        <v>280546</v>
      </c>
      <c r="K55" s="3356"/>
      <c r="L55" s="1580"/>
      <c r="M55" s="3355"/>
      <c r="N55" s="3356"/>
      <c r="P55" s="3355"/>
      <c r="Q55" s="3356"/>
      <c r="S55" s="3355">
        <v>74700</v>
      </c>
      <c r="T55" s="3356"/>
      <c r="V55" s="3383"/>
      <c r="W55" s="3353"/>
      <c r="X55" s="3354"/>
    </row>
    <row r="56" spans="1:24" s="305" customFormat="1" ht="12" customHeight="1">
      <c r="B56" s="305" t="s">
        <v>2364</v>
      </c>
      <c r="G56" s="3355">
        <v>25000</v>
      </c>
      <c r="H56" s="3356"/>
      <c r="J56" s="3355">
        <v>25000</v>
      </c>
      <c r="K56" s="3356"/>
      <c r="L56" s="1580"/>
      <c r="M56" s="3355"/>
      <c r="N56" s="3356"/>
      <c r="P56" s="3355"/>
      <c r="Q56" s="3356"/>
      <c r="S56" s="3355"/>
      <c r="T56" s="3356"/>
      <c r="V56" s="3383"/>
      <c r="W56" s="3353"/>
      <c r="X56" s="3354"/>
    </row>
    <row r="57" spans="1:24" s="305" customFormat="1" ht="12" customHeight="1">
      <c r="B57" s="305" t="s">
        <v>2704</v>
      </c>
      <c r="G57" s="3355">
        <v>15000</v>
      </c>
      <c r="H57" s="3356"/>
      <c r="J57" s="3355">
        <f>G57</f>
        <v>15000</v>
      </c>
      <c r="K57" s="3356"/>
      <c r="L57" s="1580"/>
      <c r="M57" s="3355"/>
      <c r="N57" s="3356"/>
      <c r="P57" s="3355"/>
      <c r="Q57" s="3356"/>
      <c r="S57" s="3355"/>
      <c r="T57" s="3356"/>
      <c r="V57" s="3383"/>
      <c r="W57" s="3353"/>
      <c r="X57" s="3354"/>
    </row>
    <row r="58" spans="1:24" s="305" customFormat="1" ht="12" customHeight="1">
      <c r="B58" s="305" t="s">
        <v>731</v>
      </c>
      <c r="G58" s="3355">
        <v>20000</v>
      </c>
      <c r="H58" s="3356"/>
      <c r="J58" s="3355">
        <f>G58</f>
        <v>20000</v>
      </c>
      <c r="K58" s="3356"/>
      <c r="L58" s="1580"/>
      <c r="M58" s="3355"/>
      <c r="N58" s="3356"/>
      <c r="P58" s="3355"/>
      <c r="Q58" s="3356"/>
      <c r="S58" s="3355"/>
      <c r="T58" s="3356"/>
      <c r="V58" s="3383"/>
      <c r="W58" s="3353"/>
      <c r="X58" s="3354"/>
    </row>
    <row r="59" spans="1:24" s="305" customFormat="1" ht="12" customHeight="1">
      <c r="B59" s="305" t="s">
        <v>2365</v>
      </c>
      <c r="G59" s="3355">
        <v>31824</v>
      </c>
      <c r="H59" s="3356"/>
      <c r="J59" s="3355">
        <f>G59</f>
        <v>31824</v>
      </c>
      <c r="K59" s="3356"/>
      <c r="L59" s="1580"/>
      <c r="M59" s="3355"/>
      <c r="N59" s="3356"/>
      <c r="P59" s="3355"/>
      <c r="Q59" s="3356"/>
      <c r="S59" s="3355"/>
      <c r="T59" s="3356"/>
      <c r="V59" s="3383"/>
      <c r="W59" s="3353"/>
      <c r="X59" s="3354"/>
    </row>
    <row r="60" spans="1:24" s="305" customFormat="1" ht="12" customHeight="1">
      <c r="B60" s="305" t="s">
        <v>1288</v>
      </c>
      <c r="G60" s="3355">
        <v>60000</v>
      </c>
      <c r="H60" s="3356"/>
      <c r="J60" s="3355">
        <v>20000</v>
      </c>
      <c r="K60" s="3356"/>
      <c r="L60" s="1580"/>
      <c r="M60" s="3355"/>
      <c r="N60" s="3356"/>
      <c r="P60" s="3355"/>
      <c r="Q60" s="3356"/>
      <c r="S60" s="3355">
        <v>40000</v>
      </c>
      <c r="T60" s="3356"/>
      <c r="V60" s="3383"/>
      <c r="W60" s="3353"/>
      <c r="X60" s="3354"/>
    </row>
    <row r="61" spans="1:24" s="305" customFormat="1" ht="12" customHeight="1">
      <c r="B61" s="367" t="s">
        <v>1163</v>
      </c>
      <c r="D61" s="365"/>
      <c r="E61" s="365"/>
      <c r="F61" s="366"/>
      <c r="G61" s="3355">
        <v>42735</v>
      </c>
      <c r="H61" s="3356"/>
      <c r="I61" s="324"/>
      <c r="J61" s="3355">
        <f>G61</f>
        <v>42735</v>
      </c>
      <c r="K61" s="3356"/>
      <c r="L61" s="1580"/>
      <c r="M61" s="3355"/>
      <c r="N61" s="3356"/>
      <c r="P61" s="3355"/>
      <c r="Q61" s="3356"/>
      <c r="S61" s="3355"/>
      <c r="T61" s="3356"/>
      <c r="V61" s="3383"/>
      <c r="W61" s="3353"/>
      <c r="X61" s="3354"/>
    </row>
    <row r="62" spans="1:24" s="305" customFormat="1" ht="12" customHeight="1">
      <c r="A62" s="387" t="str">
        <f>IF(AND(G62&gt;0,OR(C62="",C62="&lt;Enter detailed description here; use Comments section if needed&gt;")),"X","")</f>
        <v/>
      </c>
      <c r="B62" s="305" t="s">
        <v>749</v>
      </c>
      <c r="C62" s="3384" t="s">
        <v>3737</v>
      </c>
      <c r="D62" s="3384"/>
      <c r="E62" s="3384"/>
      <c r="F62" s="3385"/>
      <c r="G62" s="3355"/>
      <c r="H62" s="3356"/>
      <c r="J62" s="3355"/>
      <c r="K62" s="3356"/>
      <c r="L62" s="1580"/>
      <c r="M62" s="3355"/>
      <c r="N62" s="3356"/>
      <c r="P62" s="3355"/>
      <c r="Q62" s="3356"/>
      <c r="S62" s="3355"/>
      <c r="T62" s="3356"/>
      <c r="U62" s="386" t="str">
        <f>IF(AND(G62&gt;0,OR(C62="",C62="&lt;Enter detailed description here; use Comments section if needed&gt;")),"NO DESCRIPTION PROVIDED - please enter detailed description in Other box at left; use Comments section below if needed.","")</f>
        <v/>
      </c>
      <c r="V62" s="3383"/>
      <c r="W62" s="3353"/>
      <c r="X62" s="3354"/>
    </row>
    <row r="63" spans="1:24" s="305" customFormat="1" ht="12" customHeight="1" thickBot="1">
      <c r="A63" s="387" t="str">
        <f>IF(AND(G63&gt;0,OR(C63="",C63="&lt;Enter detailed description here; use Comments section if needed&gt;")),"X","")</f>
        <v/>
      </c>
      <c r="B63" s="305" t="s">
        <v>749</v>
      </c>
      <c r="C63" s="3386" t="s">
        <v>3737</v>
      </c>
      <c r="D63" s="3386"/>
      <c r="E63" s="3386"/>
      <c r="F63" s="3387"/>
      <c r="G63" s="3388"/>
      <c r="H63" s="3389"/>
      <c r="J63" s="3388"/>
      <c r="K63" s="3389"/>
      <c r="L63" s="1580"/>
      <c r="M63" s="3388"/>
      <c r="N63" s="3389"/>
      <c r="P63" s="3388"/>
      <c r="Q63" s="3389"/>
      <c r="S63" s="3388"/>
      <c r="T63" s="3389"/>
      <c r="U63" s="386" t="str">
        <f>IF(AND(G63&gt;0,OR(C63="",C63="&lt;Enter detailed description here; use Comments section if needed&gt;")),"NO DESCRIPTION PROVIDED - please enter detailed description in Other box at left; use Comments section below if needed.","")</f>
        <v/>
      </c>
      <c r="V63" s="3383"/>
      <c r="W63" s="3362"/>
      <c r="X63" s="3363"/>
    </row>
    <row r="64" spans="1:24" s="305" customFormat="1" ht="12" customHeight="1" thickTop="1">
      <c r="F64" s="361" t="s">
        <v>193</v>
      </c>
      <c r="G64" s="1800">
        <f>SUM(G52:H63)</f>
        <v>601295</v>
      </c>
      <c r="H64" s="1801"/>
      <c r="J64" s="1800">
        <f>SUM(J52:K63)</f>
        <v>486595</v>
      </c>
      <c r="K64" s="1801"/>
      <c r="L64" s="363"/>
      <c r="M64" s="1800">
        <f>SUM(M52:N63)</f>
        <v>0</v>
      </c>
      <c r="N64" s="1801"/>
      <c r="P64" s="1800">
        <f>SUM(P52:Q63)</f>
        <v>0</v>
      </c>
      <c r="Q64" s="1801"/>
      <c r="S64" s="1800">
        <f>SUM(S52:T63)</f>
        <v>114700</v>
      </c>
      <c r="T64" s="1801"/>
      <c r="V64" s="3390">
        <f>SUM(V52:V63)</f>
        <v>0</v>
      </c>
      <c r="W64" s="3365"/>
      <c r="X64" s="3366"/>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0">
        <v>100000</v>
      </c>
      <c r="H66" s="3351"/>
      <c r="J66" s="3350">
        <v>100000</v>
      </c>
      <c r="K66" s="3351"/>
      <c r="L66" s="1580"/>
      <c r="M66" s="3350"/>
      <c r="N66" s="3351"/>
      <c r="P66" s="3350"/>
      <c r="Q66" s="3351"/>
      <c r="S66" s="3350"/>
      <c r="T66" s="3351"/>
      <c r="V66" s="3352"/>
      <c r="W66" s="3353"/>
      <c r="X66" s="3354"/>
    </row>
    <row r="67" spans="1:24" s="305" customFormat="1" ht="12" customHeight="1">
      <c r="B67" s="305" t="s">
        <v>482</v>
      </c>
      <c r="G67" s="3355">
        <v>50000</v>
      </c>
      <c r="H67" s="3356"/>
      <c r="J67" s="3355">
        <v>50000</v>
      </c>
      <c r="K67" s="3356"/>
      <c r="L67" s="1580"/>
      <c r="M67" s="3355"/>
      <c r="N67" s="3356"/>
      <c r="P67" s="3355"/>
      <c r="Q67" s="3356"/>
      <c r="S67" s="3355"/>
      <c r="T67" s="3356"/>
      <c r="V67" s="3352"/>
      <c r="W67" s="3353"/>
      <c r="X67" s="3354"/>
    </row>
    <row r="68" spans="1:24" s="305" customFormat="1" ht="12" customHeight="1">
      <c r="B68" s="305" t="s">
        <v>1137</v>
      </c>
      <c r="D68" s="318" t="s">
        <v>3876</v>
      </c>
      <c r="E68" s="1167">
        <f>'DCA Underwriting Assumptions'!R77</f>
        <v>20000</v>
      </c>
      <c r="F68" s="1168" t="str">
        <f>IF(G68&gt;E68,"CHECK!!!","")</f>
        <v/>
      </c>
      <c r="G68" s="3355">
        <v>20000</v>
      </c>
      <c r="H68" s="3356"/>
      <c r="J68" s="3355">
        <v>20000</v>
      </c>
      <c r="K68" s="3356"/>
      <c r="L68" s="1580"/>
      <c r="M68" s="3355"/>
      <c r="N68" s="3356"/>
      <c r="P68" s="3355"/>
      <c r="Q68" s="3356"/>
      <c r="S68" s="3355"/>
      <c r="T68" s="3356"/>
      <c r="V68" s="3352"/>
      <c r="W68" s="3353"/>
      <c r="X68" s="3354"/>
    </row>
    <row r="69" spans="1:24" s="305" customFormat="1" ht="12" customHeight="1">
      <c r="B69" s="305" t="s">
        <v>1138</v>
      </c>
      <c r="G69" s="3355">
        <v>10000</v>
      </c>
      <c r="H69" s="3356"/>
      <c r="J69" s="3355">
        <v>10000</v>
      </c>
      <c r="K69" s="3356"/>
      <c r="L69" s="1580"/>
      <c r="M69" s="3355"/>
      <c r="N69" s="3356"/>
      <c r="P69" s="3355"/>
      <c r="Q69" s="3356"/>
      <c r="S69" s="3355"/>
      <c r="T69" s="3356"/>
      <c r="V69" s="3352"/>
      <c r="W69" s="3353"/>
      <c r="X69" s="3354"/>
    </row>
    <row r="70" spans="1:24" s="305" customFormat="1" ht="12" customHeight="1">
      <c r="B70" s="305" t="s">
        <v>1139</v>
      </c>
      <c r="G70" s="3355">
        <v>7500</v>
      </c>
      <c r="H70" s="3356"/>
      <c r="J70" s="3355">
        <v>7500</v>
      </c>
      <c r="K70" s="3356"/>
      <c r="L70" s="1580"/>
      <c r="M70" s="3355"/>
      <c r="N70" s="3356"/>
      <c r="P70" s="3355"/>
      <c r="Q70" s="3356"/>
      <c r="S70" s="3355"/>
      <c r="T70" s="3356"/>
      <c r="V70" s="3352"/>
      <c r="W70" s="3353"/>
      <c r="X70" s="3354"/>
    </row>
    <row r="71" spans="1:24" s="305" customFormat="1" ht="12" customHeight="1">
      <c r="B71" s="305" t="s">
        <v>1140</v>
      </c>
      <c r="G71" s="3355">
        <v>20000</v>
      </c>
      <c r="H71" s="3356"/>
      <c r="J71" s="3355">
        <v>20000</v>
      </c>
      <c r="K71" s="3356"/>
      <c r="L71" s="1580"/>
      <c r="M71" s="3355"/>
      <c r="N71" s="3356"/>
      <c r="P71" s="3355"/>
      <c r="Q71" s="3356"/>
      <c r="S71" s="3355"/>
      <c r="T71" s="3356"/>
      <c r="V71" s="3352"/>
      <c r="W71" s="3353"/>
      <c r="X71" s="3354"/>
    </row>
    <row r="72" spans="1:24" s="305" customFormat="1" ht="12" customHeight="1">
      <c r="B72" s="305" t="s">
        <v>483</v>
      </c>
      <c r="G72" s="3355">
        <v>52800</v>
      </c>
      <c r="H72" s="3356"/>
      <c r="J72" s="3355">
        <v>52800</v>
      </c>
      <c r="K72" s="3356"/>
      <c r="L72" s="1580"/>
      <c r="M72" s="3355"/>
      <c r="N72" s="3356"/>
      <c r="P72" s="3355"/>
      <c r="Q72" s="3356"/>
      <c r="S72" s="3355"/>
      <c r="T72" s="3356"/>
      <c r="V72" s="3352"/>
      <c r="W72" s="3353"/>
      <c r="X72" s="3354"/>
    </row>
    <row r="73" spans="1:24" s="305" customFormat="1" ht="12" customHeight="1">
      <c r="B73" s="305" t="s">
        <v>484</v>
      </c>
      <c r="G73" s="3355">
        <v>125000</v>
      </c>
      <c r="H73" s="3356"/>
      <c r="J73" s="3355">
        <v>85000</v>
      </c>
      <c r="K73" s="3356"/>
      <c r="L73" s="1580"/>
      <c r="M73" s="3355"/>
      <c r="N73" s="3356"/>
      <c r="P73" s="3355"/>
      <c r="Q73" s="3356"/>
      <c r="S73" s="3355">
        <v>40000</v>
      </c>
      <c r="T73" s="3356"/>
      <c r="V73" s="3352"/>
      <c r="W73" s="3353"/>
      <c r="X73" s="3354"/>
    </row>
    <row r="74" spans="1:24" s="305" customFormat="1" ht="12" customHeight="1">
      <c r="B74" s="305" t="s">
        <v>2065</v>
      </c>
      <c r="G74" s="3355">
        <v>30000</v>
      </c>
      <c r="H74" s="3356"/>
      <c r="J74" s="3355">
        <v>25000</v>
      </c>
      <c r="K74" s="3356"/>
      <c r="L74" s="1580"/>
      <c r="M74" s="3355"/>
      <c r="N74" s="3356"/>
      <c r="P74" s="3355"/>
      <c r="Q74" s="3356"/>
      <c r="S74" s="3355">
        <v>5000</v>
      </c>
      <c r="T74" s="3356"/>
      <c r="V74" s="3352"/>
      <c r="W74" s="3353"/>
      <c r="X74" s="3354"/>
    </row>
    <row r="75" spans="1:24" s="305" customFormat="1" ht="12" customHeight="1">
      <c r="B75" s="305" t="s">
        <v>1289</v>
      </c>
      <c r="G75" s="3355">
        <v>10000</v>
      </c>
      <c r="H75" s="3356"/>
      <c r="J75" s="3355"/>
      <c r="K75" s="3356"/>
      <c r="L75" s="1580"/>
      <c r="M75" s="3355"/>
      <c r="N75" s="3356"/>
      <c r="P75" s="3355"/>
      <c r="Q75" s="3356"/>
      <c r="S75" s="3355">
        <v>10000</v>
      </c>
      <c r="T75" s="3356"/>
      <c r="V75" s="3352"/>
      <c r="W75" s="3353"/>
      <c r="X75" s="3354"/>
    </row>
    <row r="76" spans="1:24" s="305" customFormat="1" ht="12" customHeight="1" thickBot="1">
      <c r="A76" s="387" t="str">
        <f>IF(AND(G76&gt;0,OR(C76="",C76="&lt;Enter detailed description here; use Comments section if needed&gt;")),"X","")</f>
        <v/>
      </c>
      <c r="B76" s="305" t="s">
        <v>749</v>
      </c>
      <c r="C76" s="3357" t="s">
        <v>3737</v>
      </c>
      <c r="D76" s="3357"/>
      <c r="E76" s="3357"/>
      <c r="F76" s="3358"/>
      <c r="G76" s="3388"/>
      <c r="H76" s="3389"/>
      <c r="J76" s="3388"/>
      <c r="K76" s="3389"/>
      <c r="L76" s="1580"/>
      <c r="M76" s="3388"/>
      <c r="N76" s="3389"/>
      <c r="P76" s="3388"/>
      <c r="Q76" s="3389"/>
      <c r="S76" s="3388"/>
      <c r="T76" s="3389"/>
      <c r="U76" s="386" t="str">
        <f>IF(AND(G76&gt;0,OR(C76="",C76="&lt;Enter detailed description here; use Comments section if needed&gt;")),"NO DESCRIPTION PROVIDED - please enter detailed description in Other box at left; use Comments section below if needed.","")</f>
        <v/>
      </c>
      <c r="V76" s="3352"/>
      <c r="W76" s="3362"/>
      <c r="X76" s="3363"/>
    </row>
    <row r="77" spans="1:24" s="305" customFormat="1" ht="12" customHeight="1" thickTop="1">
      <c r="F77" s="361" t="s">
        <v>193</v>
      </c>
      <c r="G77" s="1800">
        <f>SUM(G66:H76)</f>
        <v>425300</v>
      </c>
      <c r="H77" s="1801"/>
      <c r="J77" s="1800">
        <f>SUM(J66:K76)</f>
        <v>370300</v>
      </c>
      <c r="K77" s="1801"/>
      <c r="L77" s="363"/>
      <c r="M77" s="1800">
        <f>SUM(M66:N76)</f>
        <v>0</v>
      </c>
      <c r="N77" s="1801"/>
      <c r="P77" s="1800">
        <f>SUM(P66:Q76)</f>
        <v>0</v>
      </c>
      <c r="Q77" s="1801"/>
      <c r="S77" s="1800">
        <f>SUM(S66:T76)</f>
        <v>55000</v>
      </c>
      <c r="T77" s="1801"/>
      <c r="V77" s="3364">
        <f>SUM(V66:V76)</f>
        <v>0</v>
      </c>
      <c r="W77" s="3365"/>
      <c r="X77" s="3366"/>
    </row>
    <row r="78" spans="1:24" ht="12" customHeight="1">
      <c r="A78" s="305"/>
      <c r="B78" s="307" t="s">
        <v>1281</v>
      </c>
      <c r="C78" s="305"/>
      <c r="D78" s="969" t="s">
        <v>3761</v>
      </c>
      <c r="E78" s="1054">
        <f>G83/'Part VI-Revenues &amp; Expenses'!$O$62</f>
        <v>5016.229166666667</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0">
        <v>86915</v>
      </c>
      <c r="H79" s="3351"/>
      <c r="J79" s="3350">
        <v>86915</v>
      </c>
      <c r="K79" s="3351"/>
      <c r="L79" s="1580"/>
      <c r="M79" s="3350"/>
      <c r="N79" s="3351"/>
      <c r="P79" s="3350"/>
      <c r="Q79" s="3351"/>
      <c r="S79" s="3350"/>
      <c r="T79" s="3351"/>
      <c r="V79" s="3352"/>
      <c r="W79" s="3353"/>
      <c r="X79" s="3354"/>
    </row>
    <row r="80" spans="1:24" s="305" customFormat="1" ht="12" customHeight="1">
      <c r="B80" s="305" t="s">
        <v>1283</v>
      </c>
      <c r="G80" s="3355">
        <v>110064</v>
      </c>
      <c r="H80" s="3356"/>
      <c r="J80" s="3355">
        <v>110064</v>
      </c>
      <c r="K80" s="3356"/>
      <c r="L80" s="1580"/>
      <c r="M80" s="3355"/>
      <c r="N80" s="3356"/>
      <c r="P80" s="3355"/>
      <c r="Q80" s="3356"/>
      <c r="S80" s="3355"/>
      <c r="T80" s="3356"/>
      <c r="V80" s="3352"/>
      <c r="W80" s="3353"/>
      <c r="X80" s="3354"/>
    </row>
    <row r="81" spans="1:24" s="305" customFormat="1" ht="12" customHeight="1">
      <c r="B81" s="305" t="s">
        <v>1284</v>
      </c>
      <c r="D81" s="369" t="s">
        <v>1415</v>
      </c>
      <c r="E81" s="3391" t="s">
        <v>3014</v>
      </c>
      <c r="G81" s="3355">
        <v>43800</v>
      </c>
      <c r="H81" s="3356"/>
      <c r="I81" s="324"/>
      <c r="J81" s="3355">
        <v>43800</v>
      </c>
      <c r="K81" s="3356"/>
      <c r="L81" s="1580"/>
      <c r="M81" s="3355"/>
      <c r="N81" s="3356"/>
      <c r="P81" s="3355"/>
      <c r="Q81" s="3356"/>
      <c r="S81" s="3355"/>
      <c r="T81" s="3356"/>
      <c r="V81" s="3352"/>
      <c r="W81" s="3353"/>
      <c r="X81" s="3354"/>
    </row>
    <row r="82" spans="1:24" s="305" customFormat="1" ht="12" customHeight="1" thickBot="1">
      <c r="B82" s="305" t="s">
        <v>1285</v>
      </c>
      <c r="D82" s="369" t="s">
        <v>1415</v>
      </c>
      <c r="E82" s="3392"/>
      <c r="G82" s="3388">
        <v>0</v>
      </c>
      <c r="H82" s="3389"/>
      <c r="I82" s="324"/>
      <c r="J82" s="3388">
        <v>0</v>
      </c>
      <c r="K82" s="3389"/>
      <c r="L82" s="1580"/>
      <c r="M82" s="3388"/>
      <c r="N82" s="3389"/>
      <c r="P82" s="3388"/>
      <c r="Q82" s="3389"/>
      <c r="S82" s="3388"/>
      <c r="T82" s="3389"/>
      <c r="V82" s="3352"/>
      <c r="W82" s="3362"/>
      <c r="X82" s="3363"/>
    </row>
    <row r="83" spans="1:24" s="305" customFormat="1" ht="12" customHeight="1" thickTop="1">
      <c r="F83" s="361" t="s">
        <v>193</v>
      </c>
      <c r="G83" s="1800">
        <f>SUM(G79:H82)</f>
        <v>240779</v>
      </c>
      <c r="H83" s="1801"/>
      <c r="J83" s="1800">
        <f>SUM(J79:K82)</f>
        <v>240779</v>
      </c>
      <c r="K83" s="1801"/>
      <c r="L83" s="363"/>
      <c r="M83" s="1800">
        <f>SUM(M79:N82)</f>
        <v>0</v>
      </c>
      <c r="N83" s="1801"/>
      <c r="P83" s="1800">
        <f>SUM(P79:Q82)</f>
        <v>0</v>
      </c>
      <c r="Q83" s="1801"/>
      <c r="S83" s="1800">
        <f>SUM(S79:T82)</f>
        <v>0</v>
      </c>
      <c r="T83" s="1801"/>
      <c r="V83" s="3364">
        <f>SUM(V79:V82)</f>
        <v>0</v>
      </c>
      <c r="W83" s="3365"/>
      <c r="X83" s="3366"/>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0">
        <v>8000</v>
      </c>
      <c r="H85" s="3351"/>
      <c r="J85" s="1804"/>
      <c r="K85" s="1804"/>
      <c r="L85" s="1580"/>
      <c r="M85" s="1804"/>
      <c r="N85" s="1804"/>
      <c r="P85" s="1804"/>
      <c r="Q85" s="1804"/>
      <c r="S85" s="3350">
        <v>8000</v>
      </c>
      <c r="T85" s="3351"/>
      <c r="V85" s="3352"/>
      <c r="W85" s="3353"/>
      <c r="X85" s="3354"/>
    </row>
    <row r="86" spans="1:24" s="305" customFormat="1" ht="12" customHeight="1">
      <c r="B86" s="305" t="s">
        <v>1287</v>
      </c>
      <c r="G86" s="3355">
        <v>15000</v>
      </c>
      <c r="H86" s="3356"/>
      <c r="J86" s="1804"/>
      <c r="K86" s="1804"/>
      <c r="L86" s="1580"/>
      <c r="M86" s="1804"/>
      <c r="N86" s="1804"/>
      <c r="P86" s="1804"/>
      <c r="Q86" s="1804"/>
      <c r="S86" s="3355">
        <v>15000</v>
      </c>
      <c r="T86" s="3356"/>
      <c r="V86" s="3352"/>
      <c r="W86" s="3353"/>
      <c r="X86" s="3354"/>
    </row>
    <row r="87" spans="1:24" s="305" customFormat="1" ht="12" customHeight="1">
      <c r="B87" s="305" t="s">
        <v>1288</v>
      </c>
      <c r="G87" s="3355">
        <v>20000</v>
      </c>
      <c r="H87" s="3356"/>
      <c r="J87" s="1804"/>
      <c r="K87" s="1804"/>
      <c r="L87" s="1580"/>
      <c r="M87" s="1804"/>
      <c r="N87" s="1804"/>
      <c r="P87" s="1804"/>
      <c r="Q87" s="1804"/>
      <c r="S87" s="3355">
        <v>20000</v>
      </c>
      <c r="T87" s="3356"/>
      <c r="V87" s="3352"/>
      <c r="W87" s="3353"/>
      <c r="X87" s="3354"/>
    </row>
    <row r="88" spans="1:24" s="305" customFormat="1" ht="12" customHeight="1">
      <c r="B88" s="305" t="s">
        <v>1290</v>
      </c>
      <c r="G88" s="3355"/>
      <c r="H88" s="3356"/>
      <c r="J88" s="1804"/>
      <c r="K88" s="1804"/>
      <c r="L88" s="1580"/>
      <c r="M88" s="1804"/>
      <c r="N88" s="1804"/>
      <c r="P88" s="1804"/>
      <c r="Q88" s="1804"/>
      <c r="S88" s="3355"/>
      <c r="T88" s="3356"/>
      <c r="V88" s="3352"/>
      <c r="W88" s="3353"/>
      <c r="X88" s="3354"/>
    </row>
    <row r="89" spans="1:24" s="305" customFormat="1" ht="12" customHeight="1">
      <c r="B89" s="305" t="s">
        <v>2314</v>
      </c>
      <c r="G89" s="3355"/>
      <c r="H89" s="3356"/>
      <c r="J89" s="1804"/>
      <c r="K89" s="1804"/>
      <c r="L89" s="1580"/>
      <c r="M89" s="1804"/>
      <c r="N89" s="1804"/>
      <c r="P89" s="1804"/>
      <c r="Q89" s="1804"/>
      <c r="S89" s="3355"/>
      <c r="T89" s="3356"/>
      <c r="V89" s="3352"/>
      <c r="W89" s="3353"/>
      <c r="X89" s="3354"/>
    </row>
    <row r="90" spans="1:24" s="305" customFormat="1" ht="12" customHeight="1" thickBot="1">
      <c r="A90" s="387" t="str">
        <f>IF(AND(G90&gt;0,OR(C90="",C90="&lt;Enter detailed description here; use Comments section if needed&gt;")),"X","")</f>
        <v/>
      </c>
      <c r="B90" s="305" t="s">
        <v>749</v>
      </c>
      <c r="C90" s="3357" t="s">
        <v>3737</v>
      </c>
      <c r="D90" s="3357"/>
      <c r="E90" s="3357"/>
      <c r="F90" s="3358"/>
      <c r="G90" s="3388"/>
      <c r="H90" s="3389"/>
      <c r="J90" s="1804"/>
      <c r="K90" s="1804"/>
      <c r="L90" s="1580"/>
      <c r="M90" s="1804"/>
      <c r="N90" s="1804"/>
      <c r="P90" s="1804"/>
      <c r="Q90" s="1804"/>
      <c r="S90" s="3388"/>
      <c r="T90" s="3389"/>
      <c r="U90" s="386" t="str">
        <f>IF(AND(G90&gt;0,OR(C90="",C90="&lt;Enter detailed description here; use Comments section if needed&gt;")),"NO DESCRIPTION PROVIDED - please enter detailed description in Other box at left; use Comments section below if needed.","")</f>
        <v/>
      </c>
      <c r="V90" s="3352"/>
      <c r="W90" s="3362"/>
      <c r="X90" s="3363"/>
    </row>
    <row r="91" spans="1:24" s="305" customFormat="1" ht="12" customHeight="1" thickTop="1">
      <c r="F91" s="361" t="s">
        <v>193</v>
      </c>
      <c r="G91" s="1800">
        <f>SUM(G85:H90)</f>
        <v>43000</v>
      </c>
      <c r="H91" s="1801"/>
      <c r="J91" s="1804"/>
      <c r="K91" s="1804"/>
      <c r="L91" s="363"/>
      <c r="M91" s="1804"/>
      <c r="N91" s="1804"/>
      <c r="P91" s="1804"/>
      <c r="Q91" s="1804"/>
      <c r="S91" s="1800">
        <f>SUM(S85:T90)</f>
        <v>43000</v>
      </c>
      <c r="T91" s="1801"/>
      <c r="V91" s="3364">
        <f>SUM(V85:V90)</f>
        <v>0</v>
      </c>
      <c r="W91" s="3365"/>
      <c r="X91" s="3366"/>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3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0"/>
      <c r="H96" s="3351"/>
      <c r="J96" s="363"/>
      <c r="K96" s="363"/>
      <c r="L96" s="1580"/>
      <c r="M96" s="363"/>
      <c r="N96" s="363"/>
      <c r="P96" s="363"/>
      <c r="Q96" s="363"/>
      <c r="S96" s="3350"/>
      <c r="T96" s="3351"/>
      <c r="V96" s="3352"/>
      <c r="W96" s="3353"/>
      <c r="X96" s="335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5">
        <v>6500</v>
      </c>
      <c r="H97" s="3356"/>
      <c r="J97" s="363"/>
      <c r="K97" s="363"/>
      <c r="L97" s="370"/>
      <c r="M97" s="363"/>
      <c r="N97" s="363"/>
      <c r="P97" s="363"/>
      <c r="Q97" s="363"/>
      <c r="S97" s="3355">
        <v>6500</v>
      </c>
      <c r="T97" s="3356"/>
      <c r="V97" s="3352"/>
      <c r="W97" s="3353"/>
      <c r="X97" s="3354"/>
    </row>
    <row r="98" spans="1:24" s="305" customFormat="1" ht="12.6" customHeight="1">
      <c r="B98" s="305" t="s">
        <v>3983</v>
      </c>
      <c r="G98" s="3355"/>
      <c r="H98" s="3356"/>
      <c r="J98" s="363"/>
      <c r="K98" s="363"/>
      <c r="L98" s="370"/>
      <c r="M98" s="363"/>
      <c r="N98" s="363"/>
      <c r="O98" s="1570"/>
      <c r="P98" s="363"/>
      <c r="Q98" s="363"/>
      <c r="S98" s="3355"/>
      <c r="T98" s="3356"/>
      <c r="V98" s="3352"/>
      <c r="W98" s="3353"/>
      <c r="X98" s="3354"/>
    </row>
    <row r="99" spans="1:24" s="305" customFormat="1" ht="12.6" customHeight="1">
      <c r="B99" s="305" t="s">
        <v>524</v>
      </c>
      <c r="E99" s="1811">
        <f>'DCA Underwriting Assumptions'!$Q$88*J175</f>
        <v>57120</v>
      </c>
      <c r="F99" s="1812"/>
      <c r="G99" s="3355">
        <v>57120</v>
      </c>
      <c r="H99" s="3356"/>
      <c r="J99" s="1055" t="str">
        <f>IF(E99&gt;G99,"WARNING!  LIHTC Allocation Fee proposed is below minimum required.","")</f>
        <v/>
      </c>
      <c r="K99" s="363"/>
      <c r="L99" s="1580"/>
      <c r="M99" s="363"/>
      <c r="N99" s="363"/>
      <c r="O99" s="1570"/>
      <c r="P99" s="363"/>
      <c r="Q99" s="363"/>
      <c r="S99" s="3355">
        <v>57120</v>
      </c>
      <c r="T99" s="3356"/>
      <c r="V99" s="3352"/>
      <c r="W99" s="3353"/>
      <c r="X99" s="3354"/>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100" s="1812"/>
      <c r="G100" s="3355">
        <v>38400</v>
      </c>
      <c r="H100" s="3356"/>
      <c r="J100" s="1055" t="str">
        <f>IF(E100&gt;G100,"WARNING!  LIHTC Compliance Fee proposed is below minimum required.","")</f>
        <v/>
      </c>
      <c r="K100" s="280"/>
      <c r="L100" s="280"/>
      <c r="M100" s="280"/>
      <c r="N100" s="280"/>
      <c r="O100" s="280"/>
      <c r="P100" s="280"/>
      <c r="Q100" s="280"/>
      <c r="S100" s="3355">
        <v>38400</v>
      </c>
      <c r="T100" s="3356"/>
      <c r="V100" s="3352"/>
      <c r="W100" s="3353"/>
      <c r="X100" s="3354"/>
    </row>
    <row r="101" spans="1:24" s="305" customFormat="1" ht="12.6" customHeight="1">
      <c r="B101" s="305" t="s">
        <v>4297</v>
      </c>
      <c r="F101" s="1387">
        <f>'DCA Underwriting Assumptions'!$Q$90</f>
        <v>3000</v>
      </c>
      <c r="G101" s="3355">
        <v>3000</v>
      </c>
      <c r="H101" s="3356"/>
      <c r="J101" s="280"/>
      <c r="K101" s="280"/>
      <c r="L101" s="280"/>
      <c r="M101" s="280"/>
      <c r="N101" s="280"/>
      <c r="O101" s="280"/>
      <c r="P101" s="280"/>
      <c r="Q101" s="280"/>
      <c r="S101" s="3355">
        <v>3000</v>
      </c>
      <c r="T101" s="3356"/>
      <c r="V101" s="3352"/>
      <c r="W101" s="3353"/>
      <c r="X101" s="3354"/>
    </row>
    <row r="102" spans="1:24" s="305" customFormat="1" ht="12.6" customHeight="1">
      <c r="B102" s="305" t="s">
        <v>4298</v>
      </c>
      <c r="F102" s="1387">
        <f>'DCA Underwriting Assumptions'!$Q$111</f>
        <v>3000</v>
      </c>
      <c r="G102" s="3355">
        <v>3000</v>
      </c>
      <c r="H102" s="3356"/>
      <c r="J102" s="280"/>
      <c r="K102" s="280"/>
      <c r="L102" s="280"/>
      <c r="M102" s="280"/>
      <c r="N102" s="280"/>
      <c r="O102" s="280"/>
      <c r="P102" s="280"/>
      <c r="Q102" s="280"/>
      <c r="S102" s="3355">
        <v>3000</v>
      </c>
      <c r="T102" s="3356"/>
      <c r="V102" s="3352"/>
      <c r="W102" s="3353"/>
      <c r="X102" s="3354"/>
    </row>
    <row r="103" spans="1:24" s="305" customFormat="1" ht="12.6" customHeight="1">
      <c r="A103" s="387" t="str">
        <f>IF(AND(G103&gt;0,OR(C103="",C103="&lt;Enter detailed description here; use Comments section if needed&gt;")),"X","")</f>
        <v/>
      </c>
      <c r="B103" s="305" t="s">
        <v>749</v>
      </c>
      <c r="C103" s="3384" t="s">
        <v>3737</v>
      </c>
      <c r="D103" s="3384"/>
      <c r="E103" s="3384"/>
      <c r="F103" s="3385"/>
      <c r="G103" s="3355"/>
      <c r="H103" s="3356"/>
      <c r="J103" s="280"/>
      <c r="K103" s="280"/>
      <c r="L103" s="280"/>
      <c r="M103" s="280"/>
      <c r="N103" s="280"/>
      <c r="O103" s="280"/>
      <c r="P103" s="280"/>
      <c r="Q103" s="280"/>
      <c r="S103" s="3355"/>
      <c r="T103" s="3356"/>
      <c r="U103" s="386" t="str">
        <f>IF(AND(G103&gt;0,OR(C103="",C103="&lt;Enter detailed description here; use Comments section if needed&gt;")),"NO DESCRIPTION PROVIDED - please enter detailed description in Other box at left; use Comments section below if needed.","")</f>
        <v/>
      </c>
      <c r="V103" s="3352"/>
      <c r="W103" s="3353"/>
      <c r="X103" s="3354"/>
    </row>
    <row r="104" spans="1:24" s="305" customFormat="1" ht="12.6" customHeight="1" thickBot="1">
      <c r="A104" s="387" t="str">
        <f>IF(AND(G104&gt;0,OR(C104="",C104="&lt;Enter detailed description here; use Comments section if needed&gt;")),"X","")</f>
        <v/>
      </c>
      <c r="B104" s="305" t="s">
        <v>749</v>
      </c>
      <c r="C104" s="3386" t="s">
        <v>3737</v>
      </c>
      <c r="D104" s="3386"/>
      <c r="E104" s="3386"/>
      <c r="F104" s="3387"/>
      <c r="G104" s="3388"/>
      <c r="H104" s="3389"/>
      <c r="J104" s="280"/>
      <c r="K104" s="280"/>
      <c r="L104" s="280"/>
      <c r="M104" s="280"/>
      <c r="N104" s="280"/>
      <c r="O104" s="280"/>
      <c r="P104" s="280"/>
      <c r="Q104" s="280"/>
      <c r="S104" s="3388"/>
      <c r="T104" s="3389"/>
      <c r="U104" s="386" t="str">
        <f>IF(AND(G104&gt;0,OR(C104="",C104="&lt;Enter detailed description here; use Comments section if needed&gt;")),"NO DESCRIPTION PROVIDED - please enter detailed description in Other box at left; use Comments section below if needed.","")</f>
        <v/>
      </c>
      <c r="V104" s="3352"/>
      <c r="W104" s="3362"/>
      <c r="X104" s="3363"/>
    </row>
    <row r="105" spans="1:24" s="305" customFormat="1" ht="12.6" customHeight="1" thickTop="1">
      <c r="F105" s="361" t="s">
        <v>193</v>
      </c>
      <c r="G105" s="1800">
        <f>SUM(G96:H104)</f>
        <v>108020</v>
      </c>
      <c r="H105" s="1801"/>
      <c r="J105" s="363"/>
      <c r="K105" s="363"/>
      <c r="L105" s="1580"/>
      <c r="M105" s="363"/>
      <c r="N105" s="363"/>
      <c r="P105" s="363"/>
      <c r="Q105" s="363"/>
      <c r="S105" s="1800">
        <f>SUM(S96:T104)</f>
        <v>108020</v>
      </c>
      <c r="T105" s="1801"/>
      <c r="V105" s="3364">
        <f>SUM(V96:V104)</f>
        <v>0</v>
      </c>
      <c r="W105" s="3393"/>
      <c r="X105" s="3394"/>
    </row>
    <row r="106" spans="1:24" s="305" customFormat="1" ht="13.3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0"/>
      <c r="H107" s="3351"/>
      <c r="J107" s="1804"/>
      <c r="K107" s="1804"/>
      <c r="L107" s="1580"/>
      <c r="M107" s="1804"/>
      <c r="N107" s="1804"/>
      <c r="O107" s="1570"/>
      <c r="P107" s="1804"/>
      <c r="Q107" s="1804"/>
      <c r="S107" s="3350"/>
      <c r="T107" s="3351"/>
      <c r="V107" s="3352"/>
      <c r="W107" s="3353"/>
      <c r="X107" s="3354"/>
    </row>
    <row r="108" spans="1:24" s="305" customFormat="1" ht="12.6" customHeight="1">
      <c r="B108" s="305" t="s">
        <v>282</v>
      </c>
      <c r="G108" s="3355"/>
      <c r="H108" s="3356"/>
      <c r="J108" s="1804"/>
      <c r="K108" s="1804"/>
      <c r="L108" s="1580"/>
      <c r="M108" s="1804"/>
      <c r="N108" s="1804"/>
      <c r="O108" s="1570"/>
      <c r="P108" s="1804"/>
      <c r="Q108" s="1804"/>
      <c r="S108" s="3355"/>
      <c r="T108" s="3356"/>
      <c r="V108" s="3352"/>
      <c r="W108" s="3353"/>
      <c r="X108" s="3354"/>
    </row>
    <row r="109" spans="1:24" s="305" customFormat="1" ht="12.6" customHeight="1">
      <c r="B109" s="305" t="s">
        <v>2402</v>
      </c>
      <c r="G109" s="3355">
        <v>50000</v>
      </c>
      <c r="H109" s="3356"/>
      <c r="J109" s="1804"/>
      <c r="K109" s="1804"/>
      <c r="L109" s="1580"/>
      <c r="M109" s="1804"/>
      <c r="N109" s="1804"/>
      <c r="O109" s="1570"/>
      <c r="P109" s="1804"/>
      <c r="Q109" s="1804"/>
      <c r="S109" s="3355">
        <v>50000</v>
      </c>
      <c r="T109" s="3356"/>
      <c r="V109" s="3352"/>
      <c r="W109" s="3353"/>
      <c r="X109" s="3354"/>
    </row>
    <row r="110" spans="1:24" s="305" customFormat="1" ht="12.6" customHeight="1" thickBot="1">
      <c r="A110" s="387" t="str">
        <f>IF(AND(G110&gt;0,OR(C110="",C110="&lt;Enter detailed description here; use Comments section if needed&gt;")),"X","")</f>
        <v/>
      </c>
      <c r="B110" s="305" t="s">
        <v>749</v>
      </c>
      <c r="C110" s="3357" t="s">
        <v>3737</v>
      </c>
      <c r="D110" s="3357"/>
      <c r="E110" s="3357"/>
      <c r="F110" s="3358"/>
      <c r="G110" s="3388"/>
      <c r="H110" s="3389"/>
      <c r="J110" s="1804"/>
      <c r="K110" s="1804"/>
      <c r="L110" s="1580"/>
      <c r="M110" s="1804"/>
      <c r="N110" s="1804"/>
      <c r="O110" s="1570"/>
      <c r="P110" s="1804"/>
      <c r="Q110" s="1804"/>
      <c r="S110" s="3388"/>
      <c r="T110" s="3389"/>
      <c r="U110" s="386" t="str">
        <f>IF(AND(G110&gt;0,OR(C110="",C110="&lt;Enter detailed description here; use Comments section if needed&gt;")),"NO DESCRIPTION PROVIDED - please enter detailed description in Other box at left; use Comments section below if needed.","")</f>
        <v/>
      </c>
      <c r="V110" s="3352"/>
      <c r="W110" s="3362"/>
      <c r="X110" s="3363"/>
    </row>
    <row r="111" spans="1:24" s="305" customFormat="1" ht="12.6" customHeight="1" thickTop="1">
      <c r="F111" s="361" t="s">
        <v>193</v>
      </c>
      <c r="G111" s="1800">
        <f>SUM(G107:H110)</f>
        <v>50000</v>
      </c>
      <c r="H111" s="1801"/>
      <c r="J111" s="1804"/>
      <c r="K111" s="1804"/>
      <c r="L111" s="1580"/>
      <c r="M111" s="1804"/>
      <c r="N111" s="1804"/>
      <c r="O111" s="1570"/>
      <c r="P111" s="1804"/>
      <c r="Q111" s="1804"/>
      <c r="S111" s="1800">
        <f>SUM(S107:T110)</f>
        <v>50000</v>
      </c>
      <c r="T111" s="1801"/>
      <c r="V111" s="3364">
        <f>SUM(V107:V110)</f>
        <v>0</v>
      </c>
      <c r="W111" s="3365"/>
      <c r="X111" s="3366"/>
    </row>
    <row r="112" spans="1:24" s="305" customFormat="1" ht="13.3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3395"/>
      <c r="H113" s="3395"/>
      <c r="J113" s="3396"/>
      <c r="K113" s="3397"/>
      <c r="L113" s="362"/>
      <c r="M113" s="3396"/>
      <c r="N113" s="3397"/>
      <c r="P113" s="3396"/>
      <c r="Q113" s="3397"/>
      <c r="S113" s="3396"/>
      <c r="T113" s="3397"/>
      <c r="V113" s="3352"/>
      <c r="W113" s="3353"/>
      <c r="X113" s="3354"/>
    </row>
    <row r="114" spans="1:24" s="305" customFormat="1" ht="12.6" customHeight="1">
      <c r="B114" s="305" t="s">
        <v>4250</v>
      </c>
      <c r="F114" s="3398">
        <v>35000</v>
      </c>
      <c r="V114" s="3352"/>
      <c r="W114" s="3353"/>
      <c r="X114" s="3354"/>
    </row>
    <row r="115" spans="1:24" s="305" customFormat="1" ht="12.6" customHeight="1">
      <c r="B115" s="305" t="s">
        <v>1875</v>
      </c>
      <c r="F115" s="412">
        <f>IF($G$118=0,0,G115/$G$118)</f>
        <v>0</v>
      </c>
      <c r="G115" s="3350"/>
      <c r="H115" s="3351"/>
      <c r="J115" s="3350"/>
      <c r="K115" s="3351"/>
      <c r="L115" s="1580"/>
      <c r="M115" s="3350"/>
      <c r="N115" s="3351"/>
      <c r="P115" s="3350"/>
      <c r="Q115" s="3351"/>
      <c r="S115" s="3350"/>
      <c r="T115" s="3351"/>
      <c r="V115" s="3352"/>
      <c r="W115" s="3353"/>
      <c r="X115" s="3354"/>
    </row>
    <row r="116" spans="1:24" s="305" customFormat="1" ht="12.6" customHeight="1">
      <c r="B116" s="305" t="s">
        <v>3659</v>
      </c>
      <c r="F116" s="412">
        <f>IF($G$118=0,0,G116/$G$118)</f>
        <v>0</v>
      </c>
      <c r="G116" s="3355"/>
      <c r="H116" s="3356"/>
      <c r="J116" s="3355"/>
      <c r="K116" s="3356"/>
      <c r="L116" s="1580"/>
      <c r="M116" s="3355"/>
      <c r="N116" s="3356"/>
      <c r="P116" s="3355"/>
      <c r="Q116" s="3356"/>
      <c r="S116" s="3355"/>
      <c r="T116" s="3356"/>
      <c r="V116" s="3352"/>
      <c r="W116" s="3353"/>
      <c r="X116" s="3354"/>
    </row>
    <row r="117" spans="1:24" s="305" customFormat="1" ht="12.6" customHeight="1" thickBot="1">
      <c r="B117" s="305" t="s">
        <v>1867</v>
      </c>
      <c r="F117" s="412">
        <f>IF($G$118=0,0,G117/$G$118)</f>
        <v>1</v>
      </c>
      <c r="G117" s="3388">
        <v>1230000</v>
      </c>
      <c r="H117" s="3389"/>
      <c r="J117" s="3399">
        <v>1230000</v>
      </c>
      <c r="K117" s="3389"/>
      <c r="L117" s="1580"/>
      <c r="M117" s="3388"/>
      <c r="N117" s="3389"/>
      <c r="P117" s="3388"/>
      <c r="Q117" s="3389"/>
      <c r="S117" s="3388"/>
      <c r="T117" s="3389"/>
      <c r="V117" s="3352"/>
      <c r="W117" s="3362"/>
      <c r="X117" s="3363"/>
    </row>
    <row r="118" spans="1:24" s="305" customFormat="1" ht="12.6" customHeight="1" thickTop="1">
      <c r="C118" s="386"/>
      <c r="F118" s="361" t="s">
        <v>193</v>
      </c>
      <c r="G118" s="1800">
        <f>SUM(G113:H117)</f>
        <v>1230000</v>
      </c>
      <c r="H118" s="1801"/>
      <c r="J118" s="1800">
        <f>SUM(J113:K117)</f>
        <v>1230000</v>
      </c>
      <c r="K118" s="1801"/>
      <c r="L118" s="1580"/>
      <c r="M118" s="1800">
        <f>SUM(M113:N117)</f>
        <v>0</v>
      </c>
      <c r="N118" s="1801"/>
      <c r="P118" s="1800">
        <f>SUM(P113:Q117)</f>
        <v>0</v>
      </c>
      <c r="Q118" s="1801"/>
      <c r="S118" s="1800">
        <f>SUM(S113:T117)</f>
        <v>0</v>
      </c>
      <c r="T118" s="1801"/>
      <c r="V118" s="3364">
        <f>SUM(V113:V117)</f>
        <v>0</v>
      </c>
      <c r="W118" s="3365"/>
      <c r="X118" s="3366"/>
    </row>
    <row r="119" spans="1:24" s="305" customFormat="1" ht="13.3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0">
        <v>25000</v>
      </c>
      <c r="H120" s="3351"/>
      <c r="J120" s="371"/>
      <c r="K120" s="371"/>
      <c r="L120" s="371"/>
      <c r="M120" s="371"/>
      <c r="N120" s="371"/>
      <c r="P120" s="371"/>
      <c r="Q120" s="371"/>
      <c r="S120" s="3350">
        <v>25000</v>
      </c>
      <c r="T120" s="3351"/>
      <c r="V120" s="3352"/>
      <c r="W120" s="3353"/>
      <c r="X120" s="3354"/>
    </row>
    <row r="121" spans="1:24" s="305" customFormat="1" ht="12.6" customHeight="1">
      <c r="B121" s="305" t="s">
        <v>1548</v>
      </c>
      <c r="F121" s="513">
        <f>+'Part VI-Revenues &amp; Expenses'!$P$175*('DCA Underwriting Assumptions'!$Q$110/12)</f>
        <v>64727.25</v>
      </c>
      <c r="G121" s="3355">
        <v>64727</v>
      </c>
      <c r="H121" s="3356"/>
      <c r="J121" s="1057" t="str">
        <f>IF(E121&gt;G121,"WARNING! Rent-Up Reserves proposed is below minimum - add comment.","")</f>
        <v/>
      </c>
      <c r="K121" s="1057"/>
      <c r="L121" s="1580"/>
      <c r="M121" s="1030"/>
      <c r="N121" s="1030"/>
      <c r="O121" s="1570"/>
      <c r="P121" s="1030"/>
      <c r="Q121" s="1030"/>
      <c r="R121" s="1570"/>
      <c r="S121" s="3355">
        <v>64727</v>
      </c>
      <c r="T121" s="3356"/>
      <c r="V121" s="3352"/>
      <c r="W121" s="3353"/>
      <c r="X121" s="3354"/>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185621.52765406188</v>
      </c>
      <c r="G122" s="3355">
        <v>185622</v>
      </c>
      <c r="H122" s="3356"/>
      <c r="J122" s="1057" t="str">
        <f>IF(E122&gt;G122,"WARNING! ODR proposed is below minimum - add comment.","")</f>
        <v/>
      </c>
      <c r="K122" s="370"/>
      <c r="L122" s="370"/>
      <c r="M122" s="370"/>
      <c r="N122" s="370"/>
      <c r="O122" s="1570"/>
      <c r="P122" s="370"/>
      <c r="Q122" s="370"/>
      <c r="R122" s="1570"/>
      <c r="S122" s="3355">
        <v>185622</v>
      </c>
      <c r="T122" s="3356"/>
      <c r="V122" s="3352"/>
      <c r="W122" s="3353"/>
      <c r="X122" s="3354"/>
    </row>
    <row r="123" spans="1:24" s="305" customFormat="1" ht="12.6" customHeight="1">
      <c r="B123" s="305" t="s">
        <v>1256</v>
      </c>
      <c r="G123" s="3355"/>
      <c r="H123" s="3356"/>
      <c r="J123" s="371"/>
      <c r="K123" s="371"/>
      <c r="L123" s="371"/>
      <c r="M123" s="371"/>
      <c r="N123" s="371"/>
      <c r="P123" s="371"/>
      <c r="Q123" s="371"/>
      <c r="S123" s="3355"/>
      <c r="T123" s="3356"/>
      <c r="V123" s="3352"/>
      <c r="W123" s="3353"/>
      <c r="X123" s="3354"/>
    </row>
    <row r="124" spans="1:24" s="305" customFormat="1" ht="12.6" customHeight="1">
      <c r="B124" s="305" t="s">
        <v>1257</v>
      </c>
      <c r="E124" s="901" t="s">
        <v>3590</v>
      </c>
      <c r="F124" s="481">
        <f>IF('Part VI-Revenues &amp; Expenses'!$O$62=0,0,G124/'Part VI-Revenues &amp; Expenses'!$O$62)</f>
        <v>1100</v>
      </c>
      <c r="G124" s="3355">
        <v>52800</v>
      </c>
      <c r="H124" s="3356"/>
      <c r="J124" s="3350">
        <v>52800</v>
      </c>
      <c r="K124" s="3351"/>
      <c r="L124" s="1580"/>
      <c r="M124" s="3350"/>
      <c r="N124" s="3351"/>
      <c r="P124" s="3350"/>
      <c r="Q124" s="3351"/>
      <c r="S124" s="3355"/>
      <c r="T124" s="3356"/>
      <c r="V124" s="3352"/>
      <c r="W124" s="3353"/>
      <c r="X124" s="3354"/>
    </row>
    <row r="125" spans="1:24" s="305" customFormat="1" ht="12.6" customHeight="1" thickBot="1">
      <c r="A125" s="387" t="str">
        <f>IF(AND(G125&gt;0,OR(C125="",C125="&lt;Enter detailed description here; use Comments section if needed&gt;")),"X","")</f>
        <v/>
      </c>
      <c r="B125" s="305" t="s">
        <v>749</v>
      </c>
      <c r="C125" s="3357" t="s">
        <v>3737</v>
      </c>
      <c r="D125" s="3357"/>
      <c r="E125" s="3357"/>
      <c r="F125" s="3358"/>
      <c r="G125" s="3388"/>
      <c r="H125" s="3389"/>
      <c r="J125" s="3360"/>
      <c r="K125" s="3361"/>
      <c r="L125" s="1580"/>
      <c r="M125" s="3388"/>
      <c r="N125" s="3389"/>
      <c r="P125" s="3388"/>
      <c r="Q125" s="3389"/>
      <c r="S125" s="3388"/>
      <c r="T125" s="3389"/>
      <c r="U125" s="386" t="str">
        <f>IF(AND(G125&gt;0,OR(C125="",C125="&lt;Enter detailed description here; use Comments section if needed&gt;")),"NO DESCRIPTION PROVIDED - please enter detailed description in Other box at left; use Comments section below if needed.","")</f>
        <v/>
      </c>
      <c r="V125" s="3352"/>
      <c r="W125" s="3362"/>
      <c r="X125" s="3363"/>
    </row>
    <row r="126" spans="1:24" s="305" customFormat="1" ht="12.6" customHeight="1" thickTop="1">
      <c r="B126" s="372"/>
      <c r="F126" s="361" t="s">
        <v>193</v>
      </c>
      <c r="G126" s="1800">
        <f>SUM(G120:H125)</f>
        <v>328149</v>
      </c>
      <c r="H126" s="1801"/>
      <c r="J126" s="1800">
        <f>SUM(J124:K125)</f>
        <v>52800</v>
      </c>
      <c r="K126" s="1801"/>
      <c r="L126" s="1580"/>
      <c r="M126" s="1800">
        <f>SUM(M124:N125)</f>
        <v>0</v>
      </c>
      <c r="N126" s="1801"/>
      <c r="P126" s="1800">
        <f>SUM(P124:Q125)</f>
        <v>0</v>
      </c>
      <c r="Q126" s="1801"/>
      <c r="S126" s="1800">
        <f>SUM(S120:T125)</f>
        <v>275349</v>
      </c>
      <c r="T126" s="1801"/>
      <c r="V126" s="3364">
        <f>SUM(V120:V125)</f>
        <v>0</v>
      </c>
      <c r="W126" s="3365"/>
      <c r="X126" s="3366"/>
    </row>
    <row r="127" spans="1:24" s="305" customFormat="1" ht="13.3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0"/>
      <c r="H128" s="3351"/>
      <c r="J128" s="3350"/>
      <c r="K128" s="3351"/>
      <c r="L128" s="362"/>
      <c r="M128" s="3350"/>
      <c r="N128" s="3351"/>
      <c r="P128" s="3350"/>
      <c r="Q128" s="3351"/>
      <c r="S128" s="3350"/>
      <c r="T128" s="3351"/>
      <c r="V128" s="3352"/>
      <c r="W128" s="3353"/>
      <c r="X128" s="3354"/>
    </row>
    <row r="129" spans="1:24" s="305" customFormat="1" ht="12.6" customHeight="1" thickBot="1">
      <c r="A129" s="387" t="str">
        <f>IF(AND(G129&gt;0,OR(C129="",C129="&lt;Enter detailed description here; use Comments section if needed&gt;")),"X","")</f>
        <v/>
      </c>
      <c r="B129" s="305" t="s">
        <v>749</v>
      </c>
      <c r="C129" s="3357" t="s">
        <v>3737</v>
      </c>
      <c r="D129" s="3357"/>
      <c r="E129" s="3357"/>
      <c r="F129" s="3358"/>
      <c r="G129" s="3388"/>
      <c r="H129" s="3389"/>
      <c r="J129" s="3388"/>
      <c r="K129" s="3389"/>
      <c r="L129" s="1580"/>
      <c r="M129" s="3388"/>
      <c r="N129" s="3389"/>
      <c r="P129" s="3388"/>
      <c r="Q129" s="3389"/>
      <c r="S129" s="3388"/>
      <c r="T129" s="3389"/>
      <c r="U129" s="386" t="str">
        <f>IF(AND(G129&gt;0,OR(C129="",C129="&lt;Enter detailed description here; use Comments section if needed&gt;")),"NO DESCRIPTION PROVIDED - please enter detailed description in Other box at left; use Comments section below if needed.","")</f>
        <v/>
      </c>
      <c r="V129" s="3352"/>
      <c r="W129" s="3362"/>
      <c r="X129" s="3363"/>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4">
        <f>SUM(V128:V129)</f>
        <v>0</v>
      </c>
      <c r="W130" s="3365"/>
      <c r="X130" s="3366"/>
    </row>
    <row r="131" spans="1:24" s="305" customFormat="1" ht="3" customHeight="1" thickBot="1">
      <c r="C131" s="1559"/>
      <c r="H131" s="368"/>
      <c r="I131" s="368"/>
      <c r="L131" s="1570"/>
      <c r="V131" s="1176"/>
      <c r="W131" s="3400"/>
      <c r="X131" s="3401"/>
    </row>
    <row r="132" spans="1:24" s="305" customFormat="1" ht="14.1" customHeight="1" thickBot="1">
      <c r="B132" s="311" t="s">
        <v>2787</v>
      </c>
      <c r="G132" s="1802">
        <f>G17+G23+G27+G33+G38+G41+G47+G64+G77+G83+G91+G105+G111+G118+G126+G130</f>
        <v>11919387</v>
      </c>
      <c r="H132" s="1803"/>
      <c r="J132" s="1802">
        <f>J17+J23+J27+J33+J38+J41+J47+J64+J77+J83+J91+J105+J111+J118+J126+J130</f>
        <v>9423318</v>
      </c>
      <c r="K132" s="1803"/>
      <c r="M132" s="1802">
        <f>M17+M23+M27+M33+M38+M41+M47+M64+M77+M83+M91+M105+M111+M118+M126+M130</f>
        <v>0</v>
      </c>
      <c r="N132" s="1803"/>
      <c r="P132" s="1802">
        <f>P17+P23+P27+P33+P38+P41+P47+P64+P77+P83+P91+P105+P111+P118+P126+P130</f>
        <v>0</v>
      </c>
      <c r="Q132" s="1803"/>
      <c r="S132" s="1802">
        <f>S17+S23+S27+S33+S38+S41+S47+S64+S77+S83+S91+S105+S111+S118+S126+S130</f>
        <v>2496069</v>
      </c>
      <c r="T132" s="1803"/>
      <c r="V132" s="3402">
        <f>V17+V23+V27+V33+V38+V41+V47+V64+V77+V83+V91+V105+V111+V118+V126+V130</f>
        <v>0</v>
      </c>
      <c r="W132" s="3403"/>
      <c r="X132" s="3366"/>
    </row>
    <row r="133" spans="1:24" s="305" customFormat="1" ht="3" customHeight="1">
      <c r="C133" s="1559"/>
      <c r="H133" s="368"/>
      <c r="I133" s="368"/>
      <c r="L133" s="1570"/>
      <c r="V133" s="1176"/>
    </row>
    <row r="134" spans="1:24" s="305" customFormat="1" ht="14.1" customHeight="1">
      <c r="B134" s="524" t="s">
        <v>2783</v>
      </c>
      <c r="C134" s="522"/>
      <c r="D134" s="1793">
        <f>IF('Part VI-Revenues &amp; Expenses'!$O$62=0,0,G132/'Part VI-Revenues &amp; Expenses'!$O$62)</f>
        <v>248320.5625</v>
      </c>
      <c r="E134" s="1793"/>
      <c r="F134" s="523" t="s">
        <v>2782</v>
      </c>
      <c r="G134" s="1794">
        <f>IF('Part I-Project Information'!$P$71=0,0,G132/'Part I-Project Information'!$P$71)</f>
        <v>207.6512081671051</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6.1"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4.1" customHeight="1">
      <c r="B140" s="1559" t="s">
        <v>145</v>
      </c>
      <c r="D140" s="1570"/>
      <c r="E140" s="1570"/>
      <c r="F140" s="1570"/>
      <c r="G140" s="1570"/>
      <c r="H140" s="1570"/>
      <c r="I140" s="375"/>
      <c r="J140" s="3404"/>
      <c r="K140" s="3405"/>
      <c r="P140" s="3404"/>
      <c r="Q140" s="3405"/>
      <c r="V140" s="3352"/>
      <c r="W140" s="3353"/>
      <c r="X140" s="3354"/>
    </row>
    <row r="141" spans="1:24" s="305" customFormat="1" ht="14.1" customHeight="1">
      <c r="B141" s="1570" t="s">
        <v>2168</v>
      </c>
      <c r="D141" s="1570"/>
      <c r="E141" s="1570"/>
      <c r="F141" s="1570"/>
      <c r="G141" s="1570"/>
      <c r="H141" s="1570"/>
      <c r="I141" s="375"/>
      <c r="J141" s="3406"/>
      <c r="K141" s="3407"/>
      <c r="P141" s="3406"/>
      <c r="Q141" s="3407"/>
      <c r="V141" s="3352"/>
      <c r="W141" s="3353"/>
      <c r="X141" s="3354"/>
    </row>
    <row r="142" spans="1:24" s="305" customFormat="1" ht="14.1" customHeight="1">
      <c r="B142" s="1570" t="s">
        <v>1877</v>
      </c>
      <c r="D142" s="1570"/>
      <c r="E142" s="1570"/>
      <c r="I142" s="375"/>
      <c r="J142" s="3406"/>
      <c r="K142" s="3407"/>
      <c r="P142" s="3406"/>
      <c r="Q142" s="3407"/>
      <c r="V142" s="3352"/>
      <c r="W142" s="3353"/>
      <c r="X142" s="3354"/>
    </row>
    <row r="143" spans="1:24" s="305" customFormat="1" ht="14.1" customHeight="1">
      <c r="B143" s="1570" t="s">
        <v>1878</v>
      </c>
      <c r="D143" s="1570"/>
      <c r="E143" s="1570"/>
      <c r="I143" s="375"/>
      <c r="J143" s="3406"/>
      <c r="K143" s="3407"/>
      <c r="P143" s="3406"/>
      <c r="Q143" s="3407"/>
      <c r="V143" s="3352"/>
      <c r="W143" s="3353"/>
      <c r="X143" s="3354"/>
    </row>
    <row r="144" spans="1:24" s="305" customFormat="1" ht="14.1" customHeight="1">
      <c r="B144" s="1570" t="s">
        <v>256</v>
      </c>
      <c r="D144" s="1570"/>
      <c r="E144" s="1570"/>
      <c r="I144" s="375"/>
      <c r="J144" s="3406"/>
      <c r="K144" s="3407"/>
      <c r="P144" s="3406"/>
      <c r="Q144" s="3407"/>
      <c r="V144" s="3352"/>
      <c r="W144" s="3353"/>
      <c r="X144" s="3354"/>
    </row>
    <row r="145" spans="1:24" s="305" customFormat="1" ht="14.1" customHeight="1" thickBot="1">
      <c r="B145" s="1570" t="s">
        <v>1613</v>
      </c>
      <c r="C145" s="3408" t="s">
        <v>2431</v>
      </c>
      <c r="D145" s="3408"/>
      <c r="E145" s="3408"/>
      <c r="F145" s="3408"/>
      <c r="G145" s="3408"/>
      <c r="H145" s="3408"/>
      <c r="I145" s="3409"/>
      <c r="J145" s="3410"/>
      <c r="K145" s="3411"/>
      <c r="P145" s="3410"/>
      <c r="Q145" s="3411"/>
      <c r="V145" s="3352"/>
      <c r="W145" s="3362"/>
      <c r="X145" s="3363"/>
    </row>
    <row r="146" spans="1:24" s="305" customFormat="1" ht="14.1" customHeight="1" thickBot="1">
      <c r="B146" s="316" t="s">
        <v>1879</v>
      </c>
      <c r="C146" s="319"/>
      <c r="J146" s="1702">
        <f>SUM(J140:K145)</f>
        <v>0</v>
      </c>
      <c r="K146" s="1703"/>
      <c r="P146" s="1702">
        <f>SUM(P140:Q145)</f>
        <v>0</v>
      </c>
      <c r="Q146" s="1703"/>
      <c r="V146" s="3364">
        <f>SUM(V140:V145)</f>
        <v>0</v>
      </c>
      <c r="W146" s="3365"/>
      <c r="X146" s="3366"/>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4.1" customHeight="1">
      <c r="B149" s="305" t="s">
        <v>1803</v>
      </c>
      <c r="J149" s="1789">
        <f>J132</f>
        <v>9423318</v>
      </c>
      <c r="K149" s="1790"/>
      <c r="M149" s="1791">
        <f>M132</f>
        <v>0</v>
      </c>
      <c r="N149" s="1792"/>
      <c r="P149" s="1789">
        <f>P132</f>
        <v>0</v>
      </c>
      <c r="Q149" s="1790"/>
      <c r="V149" s="3352"/>
      <c r="W149" s="3353"/>
      <c r="X149" s="3354"/>
    </row>
    <row r="150" spans="1:24" s="305" customFormat="1" ht="14.1" customHeight="1">
      <c r="B150" s="305" t="s">
        <v>2236</v>
      </c>
      <c r="J150" s="1762">
        <f>J146</f>
        <v>0</v>
      </c>
      <c r="K150" s="1763"/>
      <c r="M150" s="1771"/>
      <c r="N150" s="1771"/>
      <c r="P150" s="1762">
        <f>P146</f>
        <v>0</v>
      </c>
      <c r="Q150" s="1763"/>
      <c r="V150" s="3352"/>
      <c r="W150" s="3353"/>
      <c r="X150" s="3354"/>
    </row>
    <row r="151" spans="1:24" s="305" customFormat="1" ht="14.1" customHeight="1">
      <c r="B151" s="305" t="s">
        <v>2237</v>
      </c>
      <c r="J151" s="1762">
        <f>J149-J150</f>
        <v>9423318</v>
      </c>
      <c r="K151" s="1763"/>
      <c r="M151" s="1762">
        <f>M149</f>
        <v>0</v>
      </c>
      <c r="N151" s="1763"/>
      <c r="P151" s="1762">
        <f>P149-P150</f>
        <v>0</v>
      </c>
      <c r="Q151" s="1763"/>
      <c r="V151" s="3352"/>
      <c r="W151" s="3353"/>
      <c r="X151" s="3354"/>
    </row>
    <row r="152" spans="1:24" s="305" customFormat="1" ht="14.1" customHeight="1">
      <c r="B152" s="305" t="s">
        <v>1497</v>
      </c>
      <c r="G152" s="1561" t="s">
        <v>1727</v>
      </c>
      <c r="H152" s="3412" t="s">
        <v>4624</v>
      </c>
      <c r="I152" s="3413"/>
      <c r="J152" s="3414">
        <v>1.3</v>
      </c>
      <c r="K152" s="3415"/>
      <c r="M152" s="1784"/>
      <c r="N152" s="1784"/>
      <c r="P152" s="3414"/>
      <c r="Q152" s="3415"/>
      <c r="V152" s="3352"/>
      <c r="W152" s="3353"/>
      <c r="X152" s="3354"/>
    </row>
    <row r="153" spans="1:24" s="305" customFormat="1" ht="14.1" customHeight="1">
      <c r="B153" s="305" t="s">
        <v>2070</v>
      </c>
      <c r="J153" s="1762">
        <f>J151*J152</f>
        <v>12250313.4</v>
      </c>
      <c r="K153" s="1763"/>
      <c r="M153" s="1762">
        <f>+M151</f>
        <v>0</v>
      </c>
      <c r="N153" s="1763"/>
      <c r="P153" s="1762">
        <f>P151*P152</f>
        <v>0</v>
      </c>
      <c r="Q153" s="1763"/>
      <c r="V153" s="3352"/>
      <c r="W153" s="3353"/>
      <c r="X153" s="3354"/>
    </row>
    <row r="154" spans="1:24" s="305" customFormat="1" ht="14.1" customHeight="1">
      <c r="B154" s="305" t="s">
        <v>2558</v>
      </c>
      <c r="J154" s="1785">
        <f>MIN('Part VI-Revenues &amp; Expenses'!$O$58/'Part VI-Revenues &amp; Expenses'!$O$60,'Part VI-Revenues &amp; Expenses'!$O$115/'Part VI-Revenues &amp; Expenses'!$O$117)</f>
        <v>0.82694234082622109</v>
      </c>
      <c r="K154" s="1786"/>
      <c r="M154" s="1785">
        <f>MIN('Part VI-Revenues &amp; Expenses'!$O$58/'Part VI-Revenues &amp; Expenses'!$O$60,'Part VI-Revenues &amp; Expenses'!$O$115/'Part VI-Revenues &amp; Expenses'!$O$117)</f>
        <v>0.82694234082622109</v>
      </c>
      <c r="N154" s="1786"/>
      <c r="P154" s="1785">
        <f>MIN('Part VI-Revenues &amp; Expenses'!$O$58/'Part VI-Revenues &amp; Expenses'!$O$60,'Part VI-Revenues &amp; Expenses'!$O$115/'Part VI-Revenues &amp; Expenses'!$O$117)</f>
        <v>0.82694234082622109</v>
      </c>
      <c r="Q154" s="1786"/>
      <c r="V154" s="3352"/>
      <c r="W154" s="3353"/>
      <c r="X154" s="3354"/>
    </row>
    <row r="155" spans="1:24" s="305" customFormat="1" ht="14.1" customHeight="1">
      <c r="B155" s="305" t="s">
        <v>2061</v>
      </c>
      <c r="J155" s="1762">
        <f>J153*J154</f>
        <v>10130302.838850824</v>
      </c>
      <c r="K155" s="1763"/>
      <c r="M155" s="1762">
        <f>M153*M154</f>
        <v>0</v>
      </c>
      <c r="N155" s="1763"/>
      <c r="P155" s="1762">
        <f>P153*P154</f>
        <v>0</v>
      </c>
      <c r="Q155" s="1763"/>
      <c r="V155" s="3352"/>
      <c r="W155" s="3353"/>
      <c r="X155" s="3354"/>
    </row>
    <row r="156" spans="1:24" s="305" customFormat="1" ht="14.1" customHeight="1">
      <c r="B156" s="305" t="s">
        <v>2062</v>
      </c>
      <c r="J156" s="3414">
        <v>0.09</v>
      </c>
      <c r="K156" s="3415"/>
      <c r="M156" s="3414"/>
      <c r="N156" s="3415"/>
      <c r="P156" s="3414"/>
      <c r="Q156" s="3415"/>
      <c r="V156" s="3352"/>
      <c r="W156" s="3353"/>
      <c r="X156" s="3354"/>
    </row>
    <row r="157" spans="1:24" s="305" customFormat="1" ht="14.1" customHeight="1" thickBot="1">
      <c r="B157" s="305" t="s">
        <v>2559</v>
      </c>
      <c r="J157" s="1787">
        <f>J155*J156</f>
        <v>911727.2554965741</v>
      </c>
      <c r="K157" s="1788"/>
      <c r="M157" s="1787">
        <f>M155*M156</f>
        <v>0</v>
      </c>
      <c r="N157" s="1788"/>
      <c r="P157" s="1787">
        <f>P155*P156</f>
        <v>0</v>
      </c>
      <c r="Q157" s="1788"/>
      <c r="V157" s="3416"/>
      <c r="W157" s="3362"/>
      <c r="X157" s="3363"/>
    </row>
    <row r="158" spans="1:24" s="305" customFormat="1" ht="14.1" customHeight="1" thickBot="1">
      <c r="B158" s="307" t="s">
        <v>1436</v>
      </c>
      <c r="J158" s="1702">
        <f>J157+M157+P157</f>
        <v>911727.2554965741</v>
      </c>
      <c r="K158" s="1767"/>
      <c r="L158" s="1767"/>
      <c r="M158" s="1767"/>
      <c r="N158" s="1767"/>
      <c r="O158" s="1767"/>
      <c r="P158" s="1767"/>
      <c r="Q158" s="1703"/>
      <c r="V158" s="3364"/>
      <c r="W158" s="3393"/>
      <c r="X158" s="3394"/>
    </row>
    <row r="159" spans="1:24" s="305" customFormat="1" ht="6" customHeight="1">
      <c r="B159" s="376"/>
      <c r="L159" s="377"/>
      <c r="M159" s="377"/>
      <c r="N159" s="377"/>
      <c r="O159" s="377"/>
      <c r="V159" s="1176"/>
    </row>
    <row r="160" spans="1:24" s="305" customFormat="1" ht="14.1"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2788</v>
      </c>
      <c r="G162" s="1754" t="str">
        <f>IF(J163&gt;J162,"TDC exceeds QAP PUCL!","")</f>
        <v/>
      </c>
      <c r="H162" s="1754"/>
      <c r="I162" s="1755"/>
      <c r="J162" s="1781">
        <f>'Part VIII-Threshold Criteria'!$P$63</f>
        <v>11941094</v>
      </c>
      <c r="K162" s="1782"/>
      <c r="L162" s="1783"/>
      <c r="M162" s="1756" t="s">
        <v>2765</v>
      </c>
      <c r="N162" s="1757"/>
      <c r="O162" s="1757"/>
      <c r="P162" s="1757"/>
      <c r="Q162" s="1757"/>
      <c r="R162" s="1758"/>
      <c r="S162" s="1756" t="s">
        <v>3700</v>
      </c>
      <c r="T162" s="1758"/>
      <c r="V162" s="3352"/>
      <c r="W162" s="3353"/>
      <c r="X162" s="3354"/>
    </row>
    <row r="163" spans="1:24" s="305" customFormat="1" ht="14.1" customHeight="1">
      <c r="B163" s="305" t="s">
        <v>2767</v>
      </c>
      <c r="J163" s="3417">
        <f>MIN(G132,J162,(G132-O165))</f>
        <v>11919387</v>
      </c>
      <c r="K163" s="3418"/>
      <c r="L163" s="3419"/>
      <c r="M163" s="1759"/>
      <c r="N163" s="1760"/>
      <c r="O163" s="1760"/>
      <c r="P163" s="1760"/>
      <c r="Q163" s="1760"/>
      <c r="R163" s="1761"/>
      <c r="S163" s="1759"/>
      <c r="T163" s="1761"/>
      <c r="V163" s="3352"/>
      <c r="W163" s="3353"/>
      <c r="X163" s="3354"/>
    </row>
    <row r="164" spans="1:24" s="305" customFormat="1" ht="14.1" customHeight="1">
      <c r="B164" s="305" t="s">
        <v>265</v>
      </c>
      <c r="J164" s="1762">
        <f>'Part III-Sources of Funds'!$I$58-'Part III-Sources of Funds'!$I$41-'Part III-Sources of Funds'!$I$42-'Part III-Sources of Funds'!$I$49-'Part III-Sources of Funds'!$I$50</f>
        <v>2000000</v>
      </c>
      <c r="K164" s="1771"/>
      <c r="L164" s="1772"/>
      <c r="M164" s="1759"/>
      <c r="N164" s="1760"/>
      <c r="O164" s="1760"/>
      <c r="P164" s="1760"/>
      <c r="Q164" s="1760"/>
      <c r="R164" s="1761"/>
      <c r="S164" s="1759"/>
      <c r="T164" s="1761"/>
      <c r="V164" s="3352"/>
      <c r="W164" s="3353"/>
      <c r="X164" s="3354"/>
    </row>
    <row r="165" spans="1:24" s="305" customFormat="1" ht="14.1" customHeight="1" thickBot="1">
      <c r="B165" s="305" t="s">
        <v>2248</v>
      </c>
      <c r="J165" s="1762">
        <f>+J163-J164</f>
        <v>9919387</v>
      </c>
      <c r="K165" s="1771"/>
      <c r="L165" s="1772"/>
      <c r="M165" s="1773" t="s">
        <v>2766</v>
      </c>
      <c r="N165" s="1774"/>
      <c r="O165" s="1775">
        <f>'Part III-Sources of Funds'!$I$41</f>
        <v>0</v>
      </c>
      <c r="P165" s="1775"/>
      <c r="Q165" s="1775"/>
      <c r="R165" s="1776"/>
      <c r="S165" s="424" t="s">
        <v>1675</v>
      </c>
      <c r="T165" s="3420"/>
      <c r="V165" s="3352"/>
      <c r="W165" s="3353"/>
      <c r="X165" s="3354"/>
    </row>
    <row r="166" spans="1:24" s="305" customFormat="1" ht="14.1" customHeight="1">
      <c r="B166" s="305" t="s">
        <v>1298</v>
      </c>
      <c r="J166" s="1777" t="str">
        <f>"/ 10"</f>
        <v>/ 10</v>
      </c>
      <c r="K166" s="1777"/>
      <c r="L166" s="1777"/>
      <c r="M166" s="1570"/>
      <c r="N166" s="494"/>
      <c r="O166" s="494"/>
      <c r="P166" s="494"/>
      <c r="Q166" s="494"/>
      <c r="R166" s="494"/>
      <c r="V166" s="1176"/>
      <c r="W166" s="3353"/>
      <c r="X166" s="3354"/>
    </row>
    <row r="167" spans="1:24" s="305" customFormat="1" ht="14.1" customHeight="1">
      <c r="B167" s="305" t="s">
        <v>1299</v>
      </c>
      <c r="J167" s="1762">
        <f>J165/10</f>
        <v>991938.7</v>
      </c>
      <c r="K167" s="1771"/>
      <c r="L167" s="1763"/>
      <c r="M167" s="324"/>
      <c r="N167" s="1637" t="s">
        <v>1300</v>
      </c>
      <c r="O167" s="1637"/>
      <c r="Q167" s="1637" t="s">
        <v>1812</v>
      </c>
      <c r="R167" s="1637"/>
      <c r="V167" s="3352"/>
      <c r="W167" s="3353"/>
      <c r="X167" s="3354"/>
    </row>
    <row r="168" spans="1:24" s="305" customFormat="1" ht="14.1" customHeight="1" thickBot="1">
      <c r="B168" s="305" t="s">
        <v>1496</v>
      </c>
      <c r="J168" s="1764">
        <f>N168+Q168</f>
        <v>1.38</v>
      </c>
      <c r="K168" s="1765"/>
      <c r="L168" s="1766"/>
      <c r="M168" s="1561" t="s">
        <v>1301</v>
      </c>
      <c r="N168" s="3421">
        <v>0.85</v>
      </c>
      <c r="O168" s="3422"/>
      <c r="P168" s="1561" t="s">
        <v>618</v>
      </c>
      <c r="Q168" s="3421">
        <v>0.53</v>
      </c>
      <c r="R168" s="3422"/>
      <c r="V168" s="3352"/>
      <c r="W168" s="3353"/>
      <c r="X168" s="3354"/>
    </row>
    <row r="169" spans="1:24" s="305" customFormat="1" ht="14.1" customHeight="1" thickBot="1">
      <c r="B169" s="307" t="s">
        <v>1437</v>
      </c>
      <c r="J169" s="1702">
        <f>IF(J168=0,"",J167/J168)</f>
        <v>718796.15942028991</v>
      </c>
      <c r="K169" s="1767"/>
      <c r="L169" s="1703"/>
      <c r="M169" s="324"/>
      <c r="N169" s="1570"/>
      <c r="O169" s="1570"/>
      <c r="V169" s="3352"/>
      <c r="W169" s="3353"/>
      <c r="X169" s="3354"/>
    </row>
    <row r="170" spans="1:24" s="305" customFormat="1" ht="6" customHeight="1">
      <c r="J170" s="378"/>
      <c r="K170" s="378"/>
      <c r="L170" s="378"/>
      <c r="M170" s="324"/>
      <c r="N170" s="1571"/>
      <c r="O170" s="1571"/>
      <c r="V170" s="1176"/>
      <c r="W170" s="3353"/>
      <c r="X170" s="3354"/>
    </row>
    <row r="171" spans="1:24" s="305" customFormat="1" ht="16.350000000000001"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718796.15942028991</v>
      </c>
      <c r="K171" s="1769"/>
      <c r="L171" s="1770"/>
      <c r="M171" s="324"/>
      <c r="N171" s="1571"/>
      <c r="O171" s="1571"/>
      <c r="V171" s="3352"/>
      <c r="W171" s="3353"/>
      <c r="X171" s="3354"/>
    </row>
    <row r="172" spans="1:24" s="305" customFormat="1" ht="3" customHeight="1">
      <c r="J172" s="378"/>
      <c r="K172" s="378"/>
      <c r="L172" s="378"/>
      <c r="M172" s="324"/>
      <c r="N172" s="1571"/>
      <c r="O172" s="1571"/>
      <c r="V172" s="1176"/>
      <c r="W172" s="3400"/>
      <c r="X172" s="3401"/>
    </row>
    <row r="173" spans="1:24" s="305" customFormat="1" ht="16.350000000000001" customHeight="1">
      <c r="B173" s="307" t="s">
        <v>351</v>
      </c>
      <c r="J173" s="3423">
        <v>714000</v>
      </c>
      <c r="K173" s="3424"/>
      <c r="L173" s="3425"/>
      <c r="M173" s="379" t="str">
        <f>IF(J171=0,"",IF(J173&gt;J171,"ALLOCATION CANNOT EXCEED MAXIMUM - REVISE REQUEST!",""))</f>
        <v/>
      </c>
      <c r="N173" s="1571"/>
      <c r="O173" s="1571"/>
      <c r="V173" s="3352"/>
      <c r="W173" s="3353"/>
      <c r="X173" s="3354"/>
    </row>
    <row r="174" spans="1:24" s="305" customFormat="1" ht="3" customHeight="1">
      <c r="J174" s="378"/>
      <c r="K174" s="378"/>
      <c r="L174" s="378"/>
      <c r="M174" s="324"/>
      <c r="N174" s="1571"/>
      <c r="O174" s="1571"/>
      <c r="V174" s="1176"/>
      <c r="W174" s="3400"/>
      <c r="X174" s="3401"/>
    </row>
    <row r="175" spans="1:24" s="305" customFormat="1" ht="16.350000000000001" customHeight="1">
      <c r="A175" s="438" t="s">
        <v>1805</v>
      </c>
      <c r="B175" s="438" t="s">
        <v>2637</v>
      </c>
      <c r="D175" s="324"/>
      <c r="E175" s="324"/>
      <c r="F175" s="310"/>
      <c r="J175" s="1778">
        <f>IF(J173="",0,+MIN(J171,J173))</f>
        <v>714000</v>
      </c>
      <c r="K175" s="1779"/>
      <c r="L175" s="1780"/>
      <c r="N175" s="3426"/>
      <c r="O175" s="3426"/>
      <c r="P175" s="3426"/>
      <c r="Q175" s="3426"/>
      <c r="R175" s="3426"/>
      <c r="S175" s="3426"/>
      <c r="T175" s="3426"/>
      <c r="V175" s="3352"/>
      <c r="W175" s="3353"/>
      <c r="X175" s="3354"/>
    </row>
    <row r="176" spans="1:24" ht="3" customHeight="1"/>
    <row r="177" spans="1:24" ht="6" customHeight="1"/>
    <row r="178" spans="1:24" ht="12" customHeight="1">
      <c r="A178" s="307" t="s">
        <v>1807</v>
      </c>
      <c r="B178" s="333" t="s">
        <v>577</v>
      </c>
      <c r="N178" s="307" t="s">
        <v>535</v>
      </c>
      <c r="O178" s="307" t="s">
        <v>80</v>
      </c>
    </row>
    <row r="179" spans="1:24" ht="352.5" customHeight="1">
      <c r="A179" s="3310" t="s">
        <v>4709</v>
      </c>
      <c r="B179" s="3310"/>
      <c r="C179" s="3310"/>
      <c r="D179" s="3310"/>
      <c r="E179" s="3310"/>
      <c r="F179" s="3310"/>
      <c r="G179" s="3310"/>
      <c r="H179" s="3310"/>
      <c r="I179" s="3310"/>
      <c r="J179" s="3310"/>
      <c r="K179" s="3310"/>
      <c r="L179" s="3310"/>
      <c r="M179" s="3310"/>
      <c r="N179" s="3427"/>
      <c r="O179" s="3427"/>
      <c r="P179" s="3427"/>
      <c r="Q179" s="3427"/>
      <c r="R179" s="3427"/>
      <c r="S179" s="3427"/>
      <c r="T179" s="3427"/>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Brj8Owxf+uTOaIceZ6rbSjNxtFXVTA8yoI08FX7I00SxHjzgpI81MIwvhNTMcweFgR45aVfOpROyzDN3BfCFtA==" saltValue="x6U+30lUM1qpXs/rybZQy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workbookViewId="0">
      <selection sqref="A1:XFD1048576"/>
    </sheetView>
  </sheetViews>
  <sheetFormatPr defaultColWidth="8.8554687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8.85546875" style="1490"/>
  </cols>
  <sheetData>
    <row r="1" spans="1:14" ht="15.75">
      <c r="A1" s="1839" t="str">
        <f>CONCATENATE("PART FOUR (b) -  OTHER COSTS","  -  ",'Part I-Project Information'!$O$6," - ",'Part I-Project Information'!$F$34,"  -  ",'Part I-Project Information'!$F$38,"  -  ",'Part I-Project Information'!$J$39,",  ","County")</f>
        <v>PART FOUR (b) -  OTHER COSTS  -  2018-046 - Abbington on Cheshire Bridge  -  Atlanta  -  Fulton,  County</v>
      </c>
      <c r="B1" s="1840"/>
      <c r="C1" s="1840"/>
      <c r="D1" s="1840"/>
      <c r="E1" s="1840"/>
      <c r="F1" s="1840"/>
      <c r="G1" s="1840"/>
      <c r="H1" s="1840"/>
      <c r="I1" s="1008"/>
      <c r="J1" s="1008"/>
      <c r="K1" s="1008"/>
      <c r="L1" s="1008"/>
      <c r="M1" s="1008"/>
      <c r="N1" s="1008"/>
    </row>
    <row r="2" spans="1:14" ht="9" customHeight="1"/>
    <row r="3" spans="1:14" ht="57" customHeight="1">
      <c r="A3" s="3339" t="s">
        <v>3739</v>
      </c>
      <c r="B3" s="3340"/>
      <c r="C3" s="3340"/>
      <c r="D3" s="3340"/>
      <c r="E3" s="3340"/>
      <c r="F3" s="3340"/>
      <c r="G3" s="3340"/>
      <c r="H3" s="3341"/>
    </row>
    <row r="4" spans="1:14" ht="6" customHeight="1"/>
    <row r="5" spans="1:14" ht="38.25" customHeight="1">
      <c r="A5" s="1841" t="s">
        <v>3858</v>
      </c>
      <c r="B5" s="1841"/>
      <c r="C5" s="1841"/>
      <c r="D5" s="1841"/>
      <c r="F5" s="1009" t="s">
        <v>3730</v>
      </c>
      <c r="G5" s="592"/>
      <c r="H5" s="1009" t="s">
        <v>3731</v>
      </c>
    </row>
    <row r="6" spans="1:14" ht="6.75" customHeight="1">
      <c r="A6" s="592"/>
      <c r="B6" s="592"/>
      <c r="C6" s="592"/>
      <c r="D6" s="592"/>
    </row>
    <row r="7" spans="1:14" s="3342" customFormat="1" ht="4.5" customHeight="1">
      <c r="A7" s="1010"/>
      <c r="B7" s="1010"/>
      <c r="C7" s="1010"/>
      <c r="D7" s="1010"/>
      <c r="E7" s="1010"/>
      <c r="F7" s="1010"/>
      <c r="G7" s="1010"/>
    </row>
    <row r="8" spans="1:14" s="3342" customFormat="1">
      <c r="A8" s="1019" t="s">
        <v>103</v>
      </c>
      <c r="B8" s="1011"/>
      <c r="C8" s="1011"/>
      <c r="D8" s="1011"/>
      <c r="E8" s="1011"/>
      <c r="F8" s="1011"/>
      <c r="G8" s="1011"/>
      <c r="H8" s="1011"/>
    </row>
    <row r="9" spans="1:14" s="3342" customFormat="1" ht="41.25" customHeight="1">
      <c r="A9" s="1836" t="str">
        <f>'Part IV-A-Uses of Funds'!$C$14</f>
        <v>&lt;&lt; Enter description here; provide detail &amp; justification in tab Part IV-b &gt;&gt;</v>
      </c>
      <c r="B9" s="1837"/>
      <c r="C9" s="1837"/>
      <c r="D9" s="1838"/>
      <c r="F9" s="3343"/>
      <c r="G9" s="1011"/>
      <c r="H9" s="3343"/>
    </row>
    <row r="10" spans="1:14" s="3342" customFormat="1" ht="41.25" customHeight="1">
      <c r="A10" s="1833"/>
      <c r="B10" s="1834"/>
      <c r="C10" s="1834"/>
      <c r="D10" s="1835"/>
      <c r="F10" s="3344"/>
      <c r="G10" s="1011"/>
      <c r="H10" s="3344"/>
    </row>
    <row r="11" spans="1:14" s="3342" customFormat="1" ht="4.5" customHeight="1">
      <c r="F11" s="3344"/>
      <c r="G11" s="1011"/>
      <c r="H11" s="3344"/>
    </row>
    <row r="12" spans="1:14" s="3342" customFormat="1" ht="15" customHeight="1">
      <c r="A12" s="1018" t="s">
        <v>3733</v>
      </c>
      <c r="B12" s="1017">
        <f>'Part IV-A-Uses of Funds'!$G$14</f>
        <v>0</v>
      </c>
      <c r="C12" s="1018" t="s">
        <v>1803</v>
      </c>
      <c r="D12" s="1017">
        <f>'Part IV-A-Uses of Funds'!$J$14+'Part IV-A-Uses of Funds'!$M$14+'Part IV-A-Uses of Funds'!$P$14</f>
        <v>0</v>
      </c>
      <c r="F12" s="3344"/>
      <c r="G12" s="1011"/>
      <c r="H12" s="3344"/>
    </row>
    <row r="13" spans="1:14" s="3342" customFormat="1" ht="6" customHeight="1">
      <c r="A13" s="1011"/>
      <c r="B13" s="1012"/>
      <c r="C13" s="1011"/>
      <c r="D13" s="1011"/>
      <c r="F13" s="3344"/>
      <c r="G13" s="1013"/>
      <c r="H13" s="3344"/>
    </row>
    <row r="14" spans="1:14" s="3342" customFormat="1" ht="41.25" customHeight="1">
      <c r="A14" s="1836" t="str">
        <f>'Part IV-A-Uses of Funds'!$C$15</f>
        <v>&lt;&lt; Enter description here; provide detail &amp; justification in tab Part IV-b &gt;&gt;</v>
      </c>
      <c r="B14" s="1837"/>
      <c r="C14" s="1837"/>
      <c r="D14" s="1838"/>
      <c r="F14" s="3344"/>
      <c r="G14" s="1011"/>
      <c r="H14" s="3344"/>
    </row>
    <row r="15" spans="1:14" s="3342" customFormat="1" ht="41.25" customHeight="1">
      <c r="A15" s="1833"/>
      <c r="B15" s="1834"/>
      <c r="C15" s="1834"/>
      <c r="D15" s="1835"/>
      <c r="F15" s="3344"/>
      <c r="G15" s="1011"/>
      <c r="H15" s="3344"/>
    </row>
    <row r="16" spans="1:14" s="3342" customFormat="1" ht="4.5" customHeight="1">
      <c r="F16" s="3344"/>
      <c r="G16" s="1011"/>
      <c r="H16" s="3344"/>
    </row>
    <row r="17" spans="1:8" s="3342" customFormat="1" ht="15" customHeight="1">
      <c r="A17" s="1018" t="s">
        <v>3733</v>
      </c>
      <c r="B17" s="1017">
        <f>'Part IV-A-Uses of Funds'!$G$15</f>
        <v>0</v>
      </c>
      <c r="C17" s="1018" t="s">
        <v>1803</v>
      </c>
      <c r="D17" s="1017">
        <f>'Part IV-A-Uses of Funds'!$J$15+'Part IV-A-Uses of Funds'!$M$15+'Part IV-A-Uses of Funds'!$P$15</f>
        <v>0</v>
      </c>
      <c r="F17" s="3344"/>
      <c r="G17" s="1011"/>
      <c r="H17" s="3344"/>
    </row>
    <row r="18" spans="1:8" s="3342" customFormat="1" ht="6" customHeight="1">
      <c r="A18" s="1011"/>
      <c r="B18" s="1012"/>
      <c r="C18" s="1011"/>
      <c r="D18" s="1011"/>
      <c r="F18" s="3344"/>
      <c r="G18" s="1013"/>
      <c r="H18" s="3344"/>
    </row>
    <row r="19" spans="1:8" s="3342" customFormat="1" ht="41.25" customHeight="1">
      <c r="A19" s="1836" t="str">
        <f>'Part IV-A-Uses of Funds'!$C$16</f>
        <v>&lt;&lt; Enter description here; provide detail &amp; justification in tab Part IV-b &gt;&gt;</v>
      </c>
      <c r="B19" s="1837"/>
      <c r="C19" s="1837"/>
      <c r="D19" s="1838"/>
      <c r="F19" s="3344"/>
      <c r="G19" s="1011"/>
      <c r="H19" s="3344"/>
    </row>
    <row r="20" spans="1:8" s="3342" customFormat="1" ht="41.25" customHeight="1">
      <c r="A20" s="1833"/>
      <c r="B20" s="1834"/>
      <c r="C20" s="1834"/>
      <c r="D20" s="1835"/>
      <c r="F20" s="3344"/>
      <c r="G20" s="1011"/>
      <c r="H20" s="3344"/>
    </row>
    <row r="21" spans="1:8" s="3342" customFormat="1" ht="4.5" customHeight="1">
      <c r="F21" s="3344"/>
      <c r="G21" s="1011"/>
      <c r="H21" s="3344"/>
    </row>
    <row r="22" spans="1:8" s="3342" customFormat="1" ht="15" customHeight="1">
      <c r="A22" s="1018" t="s">
        <v>3733</v>
      </c>
      <c r="B22" s="1017">
        <f>'Part IV-A-Uses of Funds'!$G$16</f>
        <v>0</v>
      </c>
      <c r="C22" s="1018" t="s">
        <v>1803</v>
      </c>
      <c r="D22" s="1017">
        <f>'Part IV-A-Uses of Funds'!$J$16+'Part IV-A-Uses of Funds'!$M$16+'Part IV-A-Uses of Funds'!$P$16</f>
        <v>0</v>
      </c>
      <c r="F22" s="3344"/>
      <c r="G22" s="1011"/>
      <c r="H22" s="3344"/>
    </row>
    <row r="23" spans="1:8" s="3342" customFormat="1" ht="6" customHeight="1">
      <c r="A23" s="1011"/>
      <c r="B23" s="1012"/>
      <c r="C23" s="1011"/>
      <c r="D23" s="1011"/>
      <c r="F23" s="3345"/>
      <c r="G23" s="1013"/>
      <c r="H23" s="3345"/>
    </row>
    <row r="24" spans="1:8" s="3342" customFormat="1">
      <c r="A24" s="1019" t="s">
        <v>3732</v>
      </c>
      <c r="B24" s="1011"/>
      <c r="C24" s="1011"/>
      <c r="D24" s="1011"/>
      <c r="E24" s="1011"/>
      <c r="F24" s="1011"/>
      <c r="G24" s="1011"/>
    </row>
    <row r="25" spans="1:8" s="3342" customFormat="1" ht="41.25" customHeight="1">
      <c r="A25" s="1836" t="str">
        <f>'Part IV-A-Uses of Funds'!$C$41</f>
        <v>&lt;&lt; Enter description here; provide detail &amp; justification in tab Part IV-b &gt;&gt;</v>
      </c>
      <c r="B25" s="1837"/>
      <c r="C25" s="1837"/>
      <c r="D25" s="1838"/>
      <c r="E25" s="1011"/>
      <c r="F25" s="3346"/>
      <c r="G25" s="1011"/>
      <c r="H25" s="3346"/>
    </row>
    <row r="26" spans="1:8" s="3342" customFormat="1" ht="41.25" customHeight="1">
      <c r="A26" s="1833"/>
      <c r="B26" s="1834"/>
      <c r="C26" s="1834"/>
      <c r="D26" s="1835"/>
      <c r="E26" s="1011"/>
      <c r="F26" s="3347"/>
      <c r="G26" s="1011"/>
      <c r="H26" s="3347"/>
    </row>
    <row r="27" spans="1:8" s="3342" customFormat="1" ht="4.5" customHeight="1">
      <c r="A27" s="1011"/>
      <c r="B27" s="1011"/>
      <c r="C27" s="1011"/>
      <c r="D27" s="1011"/>
      <c r="E27" s="1011"/>
      <c r="F27" s="3347"/>
      <c r="G27" s="1011"/>
      <c r="H27" s="3347"/>
    </row>
    <row r="28" spans="1:8" s="3342" customFormat="1" ht="25.5">
      <c r="A28" s="1018" t="s">
        <v>3733</v>
      </c>
      <c r="B28" s="1017">
        <f>'Part IV-A-Uses of Funds'!$G$41</f>
        <v>0</v>
      </c>
      <c r="C28" s="1018" t="s">
        <v>1803</v>
      </c>
      <c r="D28" s="1017">
        <f>'Part IV-A-Uses of Funds'!$J$41+'Part IV-A-Uses of Funds'!$M$41+'Part IV-A-Uses of Funds'!$P$41</f>
        <v>0</v>
      </c>
      <c r="E28" s="1011"/>
      <c r="F28" s="3347"/>
      <c r="G28" s="1011"/>
      <c r="H28" s="3347"/>
    </row>
    <row r="29" spans="1:8" s="3342" customFormat="1" ht="6" customHeight="1">
      <c r="A29" s="1011"/>
      <c r="B29" s="1012"/>
      <c r="C29" s="1011"/>
      <c r="D29" s="1011"/>
      <c r="E29" s="1011"/>
      <c r="F29" s="3348"/>
      <c r="G29" s="1013"/>
      <c r="H29" s="3348"/>
    </row>
    <row r="30" spans="1:8" s="3342" customFormat="1">
      <c r="A30" s="1019" t="s">
        <v>730</v>
      </c>
      <c r="B30" s="1011"/>
      <c r="C30" s="1011"/>
      <c r="D30" s="1011"/>
      <c r="E30" s="1011"/>
      <c r="F30" s="1011"/>
      <c r="G30" s="1011"/>
    </row>
    <row r="31" spans="1:8" s="3342" customFormat="1" ht="41.25" customHeight="1">
      <c r="A31" s="1830" t="str">
        <f>'Part IV-A-Uses of Funds'!$C$62</f>
        <v>&lt;&lt; Enter description here; provide detail &amp; justification in tab Part IV-b &gt;&gt;</v>
      </c>
      <c r="B31" s="1831"/>
      <c r="C31" s="1831"/>
      <c r="D31" s="1832"/>
      <c r="E31" s="1011"/>
      <c r="F31" s="3343"/>
      <c r="G31" s="1011"/>
      <c r="H31" s="3343"/>
    </row>
    <row r="32" spans="1:8" s="3342" customFormat="1" ht="41.25" customHeight="1">
      <c r="A32" s="1833"/>
      <c r="B32" s="1834"/>
      <c r="C32" s="1834"/>
      <c r="D32" s="1835"/>
      <c r="E32" s="1011"/>
      <c r="F32" s="3344"/>
      <c r="G32" s="1011"/>
      <c r="H32" s="3344"/>
    </row>
    <row r="33" spans="1:8" s="3342" customFormat="1" ht="4.5" customHeight="1">
      <c r="A33" s="1011"/>
      <c r="B33" s="1011"/>
      <c r="C33" s="1011"/>
      <c r="D33" s="1011"/>
      <c r="E33" s="1011"/>
      <c r="F33" s="3344"/>
      <c r="G33" s="1011"/>
      <c r="H33" s="3344"/>
    </row>
    <row r="34" spans="1:8" s="3342" customFormat="1" ht="14.25" customHeight="1">
      <c r="A34" s="1018" t="s">
        <v>3733</v>
      </c>
      <c r="B34" s="1017">
        <f>'Part IV-A-Uses of Funds'!$G$62</f>
        <v>0</v>
      </c>
      <c r="C34" s="1018" t="s">
        <v>1803</v>
      </c>
      <c r="D34" s="1017">
        <f>'Part IV-A-Uses of Funds'!$J$62+'Part IV-A-Uses of Funds'!$M$62+'Part IV-A-Uses of Funds'!$P$62</f>
        <v>0</v>
      </c>
      <c r="E34" s="1011"/>
      <c r="F34" s="3344"/>
      <c r="G34" s="1011"/>
      <c r="H34" s="3344"/>
    </row>
    <row r="35" spans="1:8" s="3342" customFormat="1" ht="6" customHeight="1">
      <c r="D35" s="1011"/>
      <c r="E35" s="1011"/>
      <c r="F35" s="3344"/>
      <c r="G35" s="1013"/>
      <c r="H35" s="3344"/>
    </row>
    <row r="36" spans="1:8" s="3342" customFormat="1" ht="41.25" customHeight="1">
      <c r="A36" s="1830" t="str">
        <f>'Part IV-A-Uses of Funds'!$C$63</f>
        <v>&lt;&lt; Enter description here; provide detail &amp; justification in tab Part IV-b &gt;&gt;</v>
      </c>
      <c r="B36" s="1831"/>
      <c r="C36" s="1831"/>
      <c r="D36" s="1832"/>
      <c r="E36" s="1011"/>
      <c r="F36" s="3344"/>
      <c r="G36" s="1011"/>
      <c r="H36" s="3344"/>
    </row>
    <row r="37" spans="1:8" s="3342" customFormat="1" ht="41.25" customHeight="1">
      <c r="A37" s="1833"/>
      <c r="B37" s="1834"/>
      <c r="C37" s="1834"/>
      <c r="D37" s="1835"/>
      <c r="E37" s="1011"/>
      <c r="F37" s="3344"/>
      <c r="G37" s="1011"/>
      <c r="H37" s="3344"/>
    </row>
    <row r="38" spans="1:8" s="3342" customFormat="1" ht="4.5" customHeight="1">
      <c r="A38" s="1011"/>
      <c r="B38" s="1011"/>
      <c r="C38" s="1011"/>
      <c r="D38" s="1011"/>
      <c r="E38" s="1011"/>
      <c r="F38" s="3344"/>
      <c r="G38" s="1011"/>
      <c r="H38" s="3344"/>
    </row>
    <row r="39" spans="1:8" s="3342" customFormat="1" ht="14.25" customHeight="1">
      <c r="A39" s="1018" t="s">
        <v>3733</v>
      </c>
      <c r="B39" s="1017">
        <f>'Part IV-A-Uses of Funds'!$G$63</f>
        <v>0</v>
      </c>
      <c r="C39" s="1018" t="s">
        <v>1803</v>
      </c>
      <c r="D39" s="1017">
        <f>'Part IV-A-Uses of Funds'!$J$63+'Part IV-A-Uses of Funds'!$M$63+'Part IV-A-Uses of Funds'!$P$63</f>
        <v>0</v>
      </c>
      <c r="E39" s="1011"/>
      <c r="F39" s="3344"/>
      <c r="G39" s="1011"/>
      <c r="H39" s="3344"/>
    </row>
    <row r="40" spans="1:8" s="3342" customFormat="1" ht="6" customHeight="1">
      <c r="D40" s="1011"/>
      <c r="E40" s="1011"/>
      <c r="F40" s="3345"/>
      <c r="G40" s="1013"/>
      <c r="H40" s="3345"/>
    </row>
    <row r="41" spans="1:8" s="3342" customFormat="1">
      <c r="A41" s="1019" t="s">
        <v>480</v>
      </c>
      <c r="B41" s="1011"/>
      <c r="C41" s="1011"/>
      <c r="D41" s="1011"/>
      <c r="E41" s="1015"/>
      <c r="F41" s="1015"/>
      <c r="G41" s="1011"/>
    </row>
    <row r="42" spans="1:8" s="3342" customFormat="1" ht="41.25" customHeight="1">
      <c r="A42" s="1830" t="str">
        <f>'Part IV-A-Uses of Funds'!$C$76</f>
        <v>&lt;&lt; Enter description here; provide detail &amp; justification in tab Part IV-b &gt;&gt;</v>
      </c>
      <c r="B42" s="1831"/>
      <c r="C42" s="1831"/>
      <c r="D42" s="1832"/>
      <c r="F42" s="3346"/>
      <c r="G42" s="1011"/>
      <c r="H42" s="3346"/>
    </row>
    <row r="43" spans="1:8" s="3342" customFormat="1" ht="41.25" customHeight="1">
      <c r="A43" s="1833"/>
      <c r="B43" s="1834"/>
      <c r="C43" s="1834"/>
      <c r="D43" s="1835"/>
      <c r="E43" s="1011"/>
      <c r="F43" s="3347"/>
      <c r="G43" s="1011"/>
      <c r="H43" s="3347"/>
    </row>
    <row r="44" spans="1:8" s="3342" customFormat="1" ht="4.5" customHeight="1">
      <c r="A44" s="1011"/>
      <c r="B44" s="1011"/>
      <c r="C44" s="1011"/>
      <c r="D44" s="1011"/>
      <c r="E44" s="1011"/>
      <c r="F44" s="3347"/>
      <c r="G44" s="1011"/>
      <c r="H44" s="3347"/>
    </row>
    <row r="45" spans="1:8" s="3342" customFormat="1" ht="13.5" customHeight="1">
      <c r="A45" s="1018" t="s">
        <v>3733</v>
      </c>
      <c r="B45" s="1017">
        <f>'Part IV-A-Uses of Funds'!$G$76</f>
        <v>0</v>
      </c>
      <c r="C45" s="1018" t="s">
        <v>1803</v>
      </c>
      <c r="D45" s="1017">
        <f>'Part IV-A-Uses of Funds'!$J$76+'Part IV-A-Uses of Funds'!$M$76+'Part IV-A-Uses of Funds'!$P$76</f>
        <v>0</v>
      </c>
      <c r="E45" s="1011"/>
      <c r="F45" s="3347"/>
      <c r="G45" s="1011"/>
      <c r="H45" s="3347"/>
    </row>
    <row r="46" spans="1:8" s="3342" customFormat="1" ht="6" customHeight="1">
      <c r="A46" s="1011"/>
      <c r="B46" s="1012"/>
      <c r="C46" s="1011"/>
      <c r="D46" s="1011"/>
      <c r="E46" s="1011"/>
      <c r="F46" s="3348"/>
      <c r="G46" s="1013"/>
      <c r="H46" s="3348"/>
    </row>
    <row r="47" spans="1:8" s="3342" customFormat="1">
      <c r="A47" s="1019" t="s">
        <v>732</v>
      </c>
      <c r="B47" s="1011"/>
      <c r="C47" s="1011"/>
      <c r="D47" s="1011"/>
      <c r="E47" s="1011"/>
      <c r="F47" s="1011"/>
      <c r="G47" s="1011"/>
    </row>
    <row r="48" spans="1:8" s="3342" customFormat="1" ht="41.25" customHeight="1">
      <c r="A48" s="1830" t="str">
        <f>'Part IV-A-Uses of Funds'!$C$90</f>
        <v>&lt;&lt; Enter description here; provide detail &amp; justification in tab Part IV-b &gt;&gt;</v>
      </c>
      <c r="B48" s="1831"/>
      <c r="C48" s="1831"/>
      <c r="D48" s="1832"/>
      <c r="F48" s="3346"/>
      <c r="G48" s="1011"/>
    </row>
    <row r="49" spans="1:7" s="3342" customFormat="1" ht="41.25" customHeight="1">
      <c r="A49" s="1833"/>
      <c r="B49" s="1834"/>
      <c r="C49" s="1834"/>
      <c r="D49" s="1835"/>
      <c r="E49" s="1011"/>
      <c r="F49" s="3347"/>
      <c r="G49" s="1011"/>
    </row>
    <row r="50" spans="1:7" s="3342" customFormat="1" ht="3" customHeight="1">
      <c r="A50" s="1011"/>
      <c r="B50" s="1011"/>
      <c r="C50" s="1011"/>
      <c r="D50" s="1011"/>
      <c r="E50" s="1011"/>
      <c r="F50" s="3347"/>
      <c r="G50" s="1011"/>
    </row>
    <row r="51" spans="1:7" s="3342" customFormat="1" ht="13.5" customHeight="1">
      <c r="A51" s="1018" t="s">
        <v>3733</v>
      </c>
      <c r="B51" s="1017">
        <f>'Part IV-A-Uses of Funds'!$G$90</f>
        <v>0</v>
      </c>
      <c r="C51" s="1014"/>
      <c r="D51" s="1014"/>
      <c r="E51" s="1011"/>
      <c r="F51" s="3347"/>
      <c r="G51" s="1011"/>
    </row>
    <row r="52" spans="1:7" s="3342" customFormat="1" ht="3.75" customHeight="1">
      <c r="A52" s="1011"/>
      <c r="B52" s="1011"/>
      <c r="C52" s="1011"/>
      <c r="D52" s="1011"/>
      <c r="E52" s="1011"/>
      <c r="F52" s="3348"/>
      <c r="G52" s="1013"/>
    </row>
    <row r="53" spans="1:7" s="3342" customFormat="1">
      <c r="A53" s="1019" t="s">
        <v>3734</v>
      </c>
      <c r="B53" s="1011"/>
      <c r="C53" s="1011"/>
      <c r="D53" s="1011"/>
      <c r="E53" s="1011"/>
      <c r="F53" s="1011"/>
      <c r="G53" s="1011"/>
    </row>
    <row r="54" spans="1:7" s="3342" customFormat="1" ht="41.25" customHeight="1">
      <c r="A54" s="1830" t="str">
        <f>'Part IV-A-Uses of Funds'!$C$103</f>
        <v>&lt;&lt; Enter description here; provide detail &amp; justification in tab Part IV-b &gt;&gt;</v>
      </c>
      <c r="B54" s="1831"/>
      <c r="C54" s="1831"/>
      <c r="D54" s="1832"/>
      <c r="F54" s="3343"/>
      <c r="G54" s="1011"/>
    </row>
    <row r="55" spans="1:7" s="3342" customFormat="1" ht="41.25" customHeight="1">
      <c r="A55" s="1833"/>
      <c r="B55" s="1834"/>
      <c r="C55" s="1834"/>
      <c r="D55" s="1835"/>
      <c r="E55" s="1011"/>
      <c r="F55" s="3344"/>
      <c r="G55" s="1011"/>
    </row>
    <row r="56" spans="1:7" s="3342" customFormat="1" ht="3" customHeight="1">
      <c r="A56" s="1011"/>
      <c r="B56" s="1011"/>
      <c r="C56" s="1011"/>
      <c r="D56" s="1011"/>
      <c r="E56" s="1011"/>
      <c r="F56" s="3344"/>
      <c r="G56" s="1011"/>
    </row>
    <row r="57" spans="1:7" s="3342" customFormat="1" ht="25.5">
      <c r="A57" s="1018" t="s">
        <v>3733</v>
      </c>
      <c r="B57" s="1017">
        <f>'Part IV-A-Uses of Funds'!$G$103</f>
        <v>0</v>
      </c>
      <c r="C57" s="1014"/>
      <c r="D57" s="1014"/>
      <c r="E57" s="1011"/>
      <c r="F57" s="3344"/>
      <c r="G57" s="1011"/>
    </row>
    <row r="58" spans="1:7" s="3342" customFormat="1" ht="3.75" customHeight="1">
      <c r="A58" s="1010"/>
      <c r="B58" s="1010"/>
      <c r="C58" s="1010"/>
      <c r="D58" s="1010"/>
      <c r="E58" s="1010"/>
      <c r="F58" s="3344"/>
      <c r="G58" s="1013"/>
    </row>
    <row r="59" spans="1:7" s="3342" customFormat="1" ht="41.25" customHeight="1">
      <c r="A59" s="1830" t="str">
        <f>'Part IV-A-Uses of Funds'!$C$104</f>
        <v>&lt;&lt; Enter description here; provide detail &amp; justification in tab Part IV-b &gt;&gt;</v>
      </c>
      <c r="B59" s="1831"/>
      <c r="C59" s="1831"/>
      <c r="D59" s="1832"/>
      <c r="F59" s="3344"/>
      <c r="G59" s="1011"/>
    </row>
    <row r="60" spans="1:7" s="3342" customFormat="1" ht="41.25" customHeight="1">
      <c r="A60" s="1833"/>
      <c r="B60" s="1834"/>
      <c r="C60" s="1834"/>
      <c r="D60" s="1835"/>
      <c r="E60" s="1011"/>
      <c r="F60" s="3344"/>
      <c r="G60" s="1011"/>
    </row>
    <row r="61" spans="1:7" s="3342" customFormat="1" ht="3" customHeight="1">
      <c r="A61" s="1011"/>
      <c r="B61" s="1011"/>
      <c r="C61" s="1011"/>
      <c r="D61" s="1011"/>
      <c r="E61" s="1011"/>
      <c r="F61" s="3344"/>
      <c r="G61" s="1011"/>
    </row>
    <row r="62" spans="1:7" s="3342" customFormat="1" ht="25.5">
      <c r="A62" s="1018" t="s">
        <v>3733</v>
      </c>
      <c r="B62" s="1017">
        <f>'Part IV-A-Uses of Funds'!$G$104</f>
        <v>0</v>
      </c>
      <c r="C62" s="1014"/>
      <c r="D62" s="1014"/>
      <c r="E62" s="1011"/>
      <c r="F62" s="3344"/>
      <c r="G62" s="1011"/>
    </row>
    <row r="63" spans="1:7" s="3342" customFormat="1" ht="3.75" customHeight="1">
      <c r="A63" s="1010"/>
      <c r="B63" s="1010"/>
      <c r="C63" s="1010"/>
      <c r="D63" s="1010"/>
      <c r="E63" s="1010"/>
      <c r="F63" s="3345"/>
      <c r="G63" s="1013"/>
    </row>
    <row r="64" spans="1:7" s="3342" customFormat="1">
      <c r="A64" s="1019" t="s">
        <v>3735</v>
      </c>
      <c r="B64" s="1011"/>
      <c r="C64" s="1011"/>
      <c r="D64" s="1011"/>
      <c r="E64" s="1011"/>
      <c r="F64" s="1011"/>
      <c r="G64" s="1011"/>
    </row>
    <row r="65" spans="1:8" s="3342" customFormat="1" ht="41.25" customHeight="1">
      <c r="A65" s="1830" t="str">
        <f>'Part IV-A-Uses of Funds'!$C$110</f>
        <v>&lt;&lt; Enter description here; provide detail &amp; justification in tab Part IV-b &gt;&gt;</v>
      </c>
      <c r="B65" s="1831"/>
      <c r="C65" s="1831"/>
      <c r="D65" s="1832"/>
      <c r="F65" s="3346"/>
      <c r="G65" s="1011"/>
    </row>
    <row r="66" spans="1:8" s="3342" customFormat="1" ht="41.25" customHeight="1">
      <c r="A66" s="1833"/>
      <c r="B66" s="1834"/>
      <c r="C66" s="1834"/>
      <c r="D66" s="1835"/>
      <c r="E66" s="1011"/>
      <c r="F66" s="3347"/>
      <c r="G66" s="1011"/>
    </row>
    <row r="67" spans="1:8" s="3342" customFormat="1" ht="3" customHeight="1">
      <c r="A67" s="1011"/>
      <c r="B67" s="1011"/>
      <c r="C67" s="1011"/>
      <c r="D67" s="1011"/>
      <c r="E67" s="1011"/>
      <c r="F67" s="3347"/>
      <c r="G67" s="1011"/>
    </row>
    <row r="68" spans="1:8" s="3342" customFormat="1" ht="25.5">
      <c r="A68" s="1018" t="s">
        <v>3733</v>
      </c>
      <c r="B68" s="1017">
        <f>'Part IV-A-Uses of Funds'!$G$110</f>
        <v>0</v>
      </c>
      <c r="C68" s="1014"/>
      <c r="D68" s="1014"/>
      <c r="E68" s="1011"/>
      <c r="F68" s="3347"/>
      <c r="G68" s="1011"/>
    </row>
    <row r="69" spans="1:8" s="3342" customFormat="1" ht="3.75" customHeight="1">
      <c r="A69" s="1011"/>
      <c r="B69" s="1012"/>
      <c r="C69" s="1011"/>
      <c r="D69" s="1011"/>
      <c r="E69" s="1011"/>
      <c r="F69" s="3348"/>
      <c r="G69" s="1013"/>
    </row>
    <row r="70" spans="1:8" s="3342" customFormat="1">
      <c r="A70" s="1019" t="s">
        <v>1321</v>
      </c>
      <c r="B70" s="1011"/>
      <c r="C70" s="1011"/>
      <c r="D70" s="1011"/>
      <c r="E70" s="1011"/>
      <c r="F70" s="1011"/>
      <c r="G70" s="1011"/>
    </row>
    <row r="71" spans="1:8" s="3342" customFormat="1" ht="41.25" customHeight="1">
      <c r="A71" s="1830" t="str">
        <f>'Part IV-A-Uses of Funds'!$C$125</f>
        <v>&lt;&lt; Enter description here; provide detail &amp; justification in tab Part IV-b &gt;&gt;</v>
      </c>
      <c r="B71" s="1831"/>
      <c r="C71" s="1831"/>
      <c r="D71" s="1832"/>
      <c r="F71" s="3346"/>
      <c r="G71" s="1011"/>
      <c r="H71" s="3346"/>
    </row>
    <row r="72" spans="1:8" s="3342" customFormat="1" ht="41.25" customHeight="1">
      <c r="A72" s="1833"/>
      <c r="B72" s="1834"/>
      <c r="C72" s="1834"/>
      <c r="D72" s="1835"/>
      <c r="E72" s="1011"/>
      <c r="F72" s="3347"/>
      <c r="G72" s="1011"/>
      <c r="H72" s="3347"/>
    </row>
    <row r="73" spans="1:8" s="3342" customFormat="1" ht="4.5" customHeight="1">
      <c r="A73" s="1011"/>
      <c r="B73" s="1011"/>
      <c r="C73" s="1011"/>
      <c r="D73" s="1011"/>
      <c r="E73" s="1011"/>
      <c r="F73" s="3347"/>
      <c r="G73" s="1011"/>
      <c r="H73" s="3347"/>
    </row>
    <row r="74" spans="1:8" s="3342" customFormat="1" ht="12.75" customHeight="1">
      <c r="A74" s="1018" t="s">
        <v>3733</v>
      </c>
      <c r="B74" s="1017">
        <f>'Part IV-A-Uses of Funds'!$G$125</f>
        <v>0</v>
      </c>
      <c r="C74" s="1018" t="s">
        <v>1803</v>
      </c>
      <c r="D74" s="1017">
        <f>'Part IV-A-Uses of Funds'!$J$125+'Part IV-A-Uses of Funds'!$M$125+'Part IV-A-Uses of Funds'!$P$125</f>
        <v>0</v>
      </c>
      <c r="E74" s="1011"/>
      <c r="F74" s="3347"/>
      <c r="G74" s="1011"/>
      <c r="H74" s="3347"/>
    </row>
    <row r="75" spans="1:8" s="3342" customFormat="1" ht="6" customHeight="1">
      <c r="A75" s="1011"/>
      <c r="B75" s="1012"/>
      <c r="C75" s="1011"/>
      <c r="D75" s="1011"/>
      <c r="E75" s="1011"/>
      <c r="F75" s="3348"/>
      <c r="G75" s="1013"/>
      <c r="H75" s="3348"/>
    </row>
    <row r="76" spans="1:8" s="3342" customFormat="1">
      <c r="A76" s="1019" t="s">
        <v>3736</v>
      </c>
      <c r="B76" s="1012"/>
      <c r="C76" s="1011"/>
      <c r="D76" s="1011"/>
      <c r="E76" s="1011"/>
      <c r="F76" s="1011"/>
      <c r="G76" s="1013"/>
    </row>
    <row r="77" spans="1:8" s="3342" customFormat="1" ht="41.25" customHeight="1">
      <c r="A77" s="1830" t="str">
        <f>'Part IV-A-Uses of Funds'!$C$129</f>
        <v>&lt;&lt; Enter description here; provide detail &amp; justification in tab Part IV-b &gt;&gt;</v>
      </c>
      <c r="B77" s="1831"/>
      <c r="C77" s="1831"/>
      <c r="D77" s="1832"/>
      <c r="F77" s="3346"/>
      <c r="G77" s="1011"/>
      <c r="H77" s="3346"/>
    </row>
    <row r="78" spans="1:8" s="3342" customFormat="1" ht="41.25" customHeight="1">
      <c r="A78" s="1833"/>
      <c r="B78" s="1834"/>
      <c r="C78" s="1834"/>
      <c r="D78" s="1835"/>
      <c r="E78" s="1011"/>
      <c r="F78" s="3347"/>
      <c r="G78" s="1011"/>
      <c r="H78" s="3347"/>
    </row>
    <row r="79" spans="1:8" s="3342" customFormat="1" ht="4.5" customHeight="1">
      <c r="A79" s="1011"/>
      <c r="B79" s="1011"/>
      <c r="C79" s="1011"/>
      <c r="D79" s="1011"/>
      <c r="E79" s="1011"/>
      <c r="F79" s="3347"/>
      <c r="G79" s="1011"/>
      <c r="H79" s="3347"/>
    </row>
    <row r="80" spans="1:8" s="3342" customFormat="1" ht="12.75" customHeight="1">
      <c r="A80" s="1018" t="s">
        <v>3733</v>
      </c>
      <c r="B80" s="1017">
        <f>'Part IV-A-Uses of Funds'!$G$129</f>
        <v>0</v>
      </c>
      <c r="C80" s="1018" t="s">
        <v>1803</v>
      </c>
      <c r="D80" s="1017">
        <f>'Part IV-A-Uses of Funds'!$J$129+'Part IV-A-Uses of Funds'!$M$129+'Part IV-A-Uses of Funds'!$P$129</f>
        <v>0</v>
      </c>
      <c r="E80" s="1016"/>
      <c r="F80" s="3347"/>
      <c r="G80" s="1011"/>
      <c r="H80" s="3347"/>
    </row>
    <row r="81" spans="4:8" s="3342" customFormat="1" ht="6" customHeight="1">
      <c r="D81" s="1618"/>
      <c r="E81" s="3349"/>
      <c r="F81" s="3348"/>
      <c r="G81" s="1013"/>
      <c r="H81" s="3348"/>
    </row>
    <row r="82" spans="4:8" s="3342" customFormat="1"/>
    <row r="83" spans="4:8" s="3342" customFormat="1"/>
    <row r="84" spans="4:8" s="3342" customFormat="1"/>
    <row r="85" spans="4:8" s="3342" customFormat="1"/>
    <row r="86" spans="4:8" s="3342" customFormat="1"/>
    <row r="87" spans="4:8" s="3342" customFormat="1"/>
    <row r="88" spans="4:8" s="3342" customFormat="1"/>
    <row r="89" spans="4:8" s="3342" customFormat="1"/>
    <row r="90" spans="4:8" s="3342" customFormat="1"/>
    <row r="91" spans="4:8" s="3342" customFormat="1"/>
    <row r="92" spans="4:8" s="3342" customFormat="1"/>
  </sheetData>
  <sheetProtection algorithmName="SHA-512" hashValue="skPCqZGnlaXCtdABfaBXAjoc9rZ70fbHNRIULjejEgdD2TSHmOrJ+CHEpZDQdidrclLvdrGg1owr58Fs8nH0yg==" saltValue="KK+mjoHgvC6ne7SmOW+OG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5" zoomScale="120" zoomScaleNormal="120" zoomScalePageLayoutView="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4.1" customHeight="1">
      <c r="A1" s="1845" t="str">
        <f>CONCATENATE("PART FIVE - UTILITY ALLOWANCES","  -  ",'Part I-Project Information'!$O$6," ",'Part I-Project Information'!$F$34,", ",'Part I-Project Information'!F38,", ",'Part I-Project Information'!J39," County")</f>
        <v>PART FIVE - UTILITY ALLOWANCES  -  2018-046 Abbington on Cheshire Bridge, Atlanta, Fulton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3832</v>
      </c>
    </row>
    <row r="6" spans="1:20" ht="6" customHeight="1">
      <c r="A6" s="8"/>
    </row>
    <row r="7" spans="1:20" s="8" customFormat="1">
      <c r="A7" s="14" t="s">
        <v>622</v>
      </c>
      <c r="B7" s="14" t="s">
        <v>2243</v>
      </c>
      <c r="F7" s="8" t="s">
        <v>2536</v>
      </c>
      <c r="I7" s="3312" t="s">
        <v>4619</v>
      </c>
      <c r="J7" s="3313"/>
      <c r="K7" s="3313"/>
      <c r="L7" s="3313"/>
      <c r="M7" s="3314"/>
    </row>
    <row r="8" spans="1:20" s="8" customFormat="1" ht="13.35" customHeight="1">
      <c r="A8" s="14"/>
      <c r="F8" s="8" t="s">
        <v>642</v>
      </c>
      <c r="H8" s="28"/>
      <c r="I8" s="3315">
        <v>42917</v>
      </c>
      <c r="J8" s="3316"/>
      <c r="K8" s="63" t="s">
        <v>545</v>
      </c>
      <c r="L8" s="3317" t="s">
        <v>4620</v>
      </c>
      <c r="M8" s="3318"/>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19" t="s">
        <v>4621</v>
      </c>
      <c r="E12" s="3320"/>
      <c r="F12" s="3321" t="s">
        <v>443</v>
      </c>
      <c r="G12" s="3321"/>
      <c r="H12" s="1120"/>
      <c r="I12" s="3322"/>
      <c r="J12" s="3322">
        <v>7</v>
      </c>
      <c r="K12" s="3322">
        <v>9</v>
      </c>
      <c r="L12" s="3322">
        <v>11</v>
      </c>
      <c r="M12" s="3322"/>
      <c r="O12" s="1842" t="s">
        <v>3857</v>
      </c>
      <c r="P12" s="1842"/>
    </row>
    <row r="13" spans="1:20" s="8" customFormat="1" ht="12" customHeight="1">
      <c r="B13" s="1112" t="s">
        <v>1609</v>
      </c>
      <c r="C13" s="1109"/>
      <c r="D13" s="3323" t="s">
        <v>1608</v>
      </c>
      <c r="E13" s="3324"/>
      <c r="F13" s="3325" t="s">
        <v>443</v>
      </c>
      <c r="G13" s="3325"/>
      <c r="H13" s="1117"/>
      <c r="I13" s="3326"/>
      <c r="J13" s="3326">
        <v>9</v>
      </c>
      <c r="K13" s="3326">
        <v>11</v>
      </c>
      <c r="L13" s="3327">
        <v>14</v>
      </c>
      <c r="M13" s="3327"/>
      <c r="O13" s="1842"/>
      <c r="P13" s="1842"/>
    </row>
    <row r="14" spans="1:20" s="8" customFormat="1" ht="12" customHeight="1">
      <c r="B14" s="1115" t="s">
        <v>1610</v>
      </c>
      <c r="C14" s="1114"/>
      <c r="D14" s="3323" t="s">
        <v>1608</v>
      </c>
      <c r="E14" s="3324"/>
      <c r="F14" s="3325" t="s">
        <v>443</v>
      </c>
      <c r="G14" s="3325"/>
      <c r="H14" s="257"/>
      <c r="I14" s="3326"/>
      <c r="J14" s="3326">
        <v>18</v>
      </c>
      <c r="K14" s="3326">
        <v>25</v>
      </c>
      <c r="L14" s="3327">
        <v>32</v>
      </c>
      <c r="M14" s="3327"/>
      <c r="O14" s="1842"/>
      <c r="P14" s="1842"/>
    </row>
    <row r="15" spans="1:20" s="8" customFormat="1" ht="12" customHeight="1">
      <c r="B15" s="1110" t="s">
        <v>471</v>
      </c>
      <c r="C15" s="258"/>
      <c r="D15" s="1110" t="s">
        <v>1608</v>
      </c>
      <c r="E15" s="258"/>
      <c r="F15" s="3325" t="s">
        <v>443</v>
      </c>
      <c r="G15" s="3325"/>
      <c r="H15" s="1116"/>
      <c r="I15" s="3326"/>
      <c r="J15" s="3326">
        <v>9</v>
      </c>
      <c r="K15" s="3326">
        <v>16</v>
      </c>
      <c r="L15" s="3327">
        <v>22</v>
      </c>
      <c r="M15" s="3327"/>
      <c r="O15" s="1842"/>
      <c r="P15" s="1842"/>
    </row>
    <row r="16" spans="1:20" s="8" customFormat="1" ht="12" customHeight="1">
      <c r="B16" s="1111" t="s">
        <v>3829</v>
      </c>
      <c r="C16" s="1109"/>
      <c r="D16" s="1112" t="s">
        <v>1608</v>
      </c>
      <c r="E16" s="1109"/>
      <c r="F16" s="3325"/>
      <c r="G16" s="3325" t="s">
        <v>443</v>
      </c>
      <c r="H16" s="1117"/>
      <c r="I16" s="3326"/>
      <c r="J16" s="3326"/>
      <c r="K16" s="3326"/>
      <c r="L16" s="3327"/>
      <c r="M16" s="3327"/>
      <c r="O16" s="1842"/>
      <c r="P16" s="1842"/>
    </row>
    <row r="17" spans="1:19" s="8" customFormat="1" ht="12" customHeight="1">
      <c r="B17" s="1111" t="s">
        <v>3830</v>
      </c>
      <c r="C17" s="1109"/>
      <c r="D17" s="1112" t="s">
        <v>1608</v>
      </c>
      <c r="E17" s="1109"/>
      <c r="F17" s="3325"/>
      <c r="G17" s="3325" t="s">
        <v>443</v>
      </c>
      <c r="H17" s="1117"/>
      <c r="I17" s="3326"/>
      <c r="J17" s="3326"/>
      <c r="K17" s="3326"/>
      <c r="L17" s="3327"/>
      <c r="M17" s="3327"/>
      <c r="O17" s="1842"/>
      <c r="P17" s="1842"/>
    </row>
    <row r="18" spans="1:19" s="8" customFormat="1" ht="12" customHeight="1">
      <c r="B18" s="1113" t="s">
        <v>3831</v>
      </c>
      <c r="C18" s="1114"/>
      <c r="D18" s="1115" t="s">
        <v>1608</v>
      </c>
      <c r="E18" s="1109"/>
      <c r="F18" s="3325" t="s">
        <v>443</v>
      </c>
      <c r="G18" s="3325"/>
      <c r="H18" s="257"/>
      <c r="I18" s="3326"/>
      <c r="J18" s="3326">
        <v>39</v>
      </c>
      <c r="K18" s="3326">
        <v>48</v>
      </c>
      <c r="L18" s="3327">
        <v>57</v>
      </c>
      <c r="M18" s="3327"/>
      <c r="O18" s="1842"/>
      <c r="P18" s="1842"/>
    </row>
    <row r="19" spans="1:19" s="8" customFormat="1" ht="12" customHeight="1">
      <c r="B19" s="1110" t="s">
        <v>1382</v>
      </c>
      <c r="C19" s="258"/>
      <c r="D19" s="668" t="s">
        <v>3492</v>
      </c>
      <c r="E19" s="3328" t="s">
        <v>3011</v>
      </c>
      <c r="F19" s="3325" t="s">
        <v>443</v>
      </c>
      <c r="G19" s="3325"/>
      <c r="H19" s="1116"/>
      <c r="I19" s="3326"/>
      <c r="J19" s="3326">
        <v>75</v>
      </c>
      <c r="K19" s="3326">
        <v>117</v>
      </c>
      <c r="L19" s="3327">
        <v>164</v>
      </c>
      <c r="M19" s="3327"/>
      <c r="O19" s="1842"/>
      <c r="P19" s="1842"/>
    </row>
    <row r="20" spans="1:19" s="8" customFormat="1" ht="12" customHeight="1">
      <c r="B20" s="1121" t="s">
        <v>1865</v>
      </c>
      <c r="C20" s="231"/>
      <c r="D20" s="259"/>
      <c r="E20" s="231"/>
      <c r="F20" s="3329"/>
      <c r="G20" s="3329" t="s">
        <v>443</v>
      </c>
      <c r="H20" s="1122"/>
      <c r="I20" s="3330"/>
      <c r="J20" s="3330"/>
      <c r="K20" s="3330"/>
      <c r="L20" s="3331"/>
      <c r="M20" s="3331"/>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157</v>
      </c>
      <c r="K21" s="1582">
        <f>IF(SUM(K12:K20)=0,0,IF(OR($D12="&lt;&lt;Select Fuel &gt;&gt;",$D13="&lt;&lt;Select Fuel &gt;&gt;",$D14="&lt;&lt;Select Fuel &gt;&gt;"),"Select Fuel",IF($E19="&lt;Select&gt;","Submeter?",SUM(K12:K20))))</f>
        <v>226</v>
      </c>
      <c r="L21" s="1582">
        <f>IF(SUM(L12:L20)=0,0,IF(OR($D12="&lt;&lt;Select Fuel &gt;&gt;",$D13="&lt;&lt;Select Fuel &gt;&gt;",$D14="&lt;&lt;Select Fuel &gt;&gt;"),"Select Fuel",IF($E19="&lt;Select&gt;","Submeter?",SUM(L12:L20))))</f>
        <v>300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2"/>
      <c r="J23" s="3313"/>
      <c r="K23" s="3313"/>
      <c r="L23" s="3313"/>
      <c r="M23" s="3314"/>
    </row>
    <row r="24" spans="1:19" s="8" customFormat="1" ht="13.35" customHeight="1">
      <c r="A24" s="14"/>
      <c r="B24" s="14"/>
      <c r="F24" s="8" t="s">
        <v>642</v>
      </c>
      <c r="H24" s="28"/>
      <c r="I24" s="3315"/>
      <c r="J24" s="3316"/>
      <c r="K24" s="63" t="s">
        <v>545</v>
      </c>
      <c r="L24" s="3317"/>
      <c r="M24" s="3318"/>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19" t="s">
        <v>1833</v>
      </c>
      <c r="E28" s="3320"/>
      <c r="F28" s="3321"/>
      <c r="G28" s="3321"/>
      <c r="H28" s="1120"/>
      <c r="I28" s="3322"/>
      <c r="J28" s="3322"/>
      <c r="K28" s="3322"/>
      <c r="L28" s="3322"/>
      <c r="M28" s="3322"/>
      <c r="O28" s="1842" t="s">
        <v>3857</v>
      </c>
      <c r="P28" s="1842"/>
    </row>
    <row r="29" spans="1:19" s="8" customFormat="1" ht="12" customHeight="1">
      <c r="B29" s="1112" t="s">
        <v>1609</v>
      </c>
      <c r="C29" s="1109"/>
      <c r="D29" s="3323" t="s">
        <v>1833</v>
      </c>
      <c r="E29" s="3324"/>
      <c r="F29" s="3325"/>
      <c r="G29" s="3325"/>
      <c r="H29" s="1117"/>
      <c r="I29" s="3326"/>
      <c r="J29" s="3326"/>
      <c r="K29" s="3326"/>
      <c r="L29" s="3327"/>
      <c r="M29" s="3327"/>
      <c r="O29" s="1842"/>
      <c r="P29" s="1842"/>
    </row>
    <row r="30" spans="1:19" s="8" customFormat="1" ht="12" customHeight="1">
      <c r="B30" s="1115" t="s">
        <v>1610</v>
      </c>
      <c r="C30" s="1114"/>
      <c r="D30" s="3323" t="s">
        <v>1833</v>
      </c>
      <c r="E30" s="3324"/>
      <c r="F30" s="3325"/>
      <c r="G30" s="3325"/>
      <c r="H30" s="257"/>
      <c r="I30" s="3326"/>
      <c r="J30" s="3326"/>
      <c r="K30" s="3326"/>
      <c r="L30" s="3327"/>
      <c r="M30" s="3327"/>
      <c r="O30" s="1842"/>
      <c r="P30" s="1842"/>
    </row>
    <row r="31" spans="1:19" s="8" customFormat="1" ht="12" customHeight="1">
      <c r="B31" s="1110" t="s">
        <v>471</v>
      </c>
      <c r="C31" s="258"/>
      <c r="D31" s="1110" t="s">
        <v>1608</v>
      </c>
      <c r="E31" s="258"/>
      <c r="F31" s="3325"/>
      <c r="G31" s="3325"/>
      <c r="H31" s="1116"/>
      <c r="I31" s="3326"/>
      <c r="J31" s="3326"/>
      <c r="K31" s="3326"/>
      <c r="L31" s="3327"/>
      <c r="M31" s="3327"/>
      <c r="O31" s="1842"/>
      <c r="P31" s="1842"/>
    </row>
    <row r="32" spans="1:19" s="8" customFormat="1" ht="12" customHeight="1">
      <c r="B32" s="1111" t="s">
        <v>3829</v>
      </c>
      <c r="C32" s="1109"/>
      <c r="D32" s="1112" t="s">
        <v>1608</v>
      </c>
      <c r="E32" s="1109"/>
      <c r="F32" s="3325"/>
      <c r="G32" s="3325"/>
      <c r="H32" s="1117"/>
      <c r="I32" s="3326"/>
      <c r="J32" s="3326"/>
      <c r="K32" s="3326"/>
      <c r="L32" s="3327"/>
      <c r="M32" s="3327"/>
      <c r="O32" s="1842"/>
      <c r="P32" s="1842"/>
    </row>
    <row r="33" spans="1:19" s="8" customFormat="1" ht="12" customHeight="1">
      <c r="B33" s="1111" t="s">
        <v>3830</v>
      </c>
      <c r="C33" s="1109"/>
      <c r="D33" s="1112" t="s">
        <v>1608</v>
      </c>
      <c r="E33" s="1109"/>
      <c r="F33" s="3325"/>
      <c r="G33" s="3325"/>
      <c r="H33" s="1117"/>
      <c r="I33" s="3326"/>
      <c r="J33" s="3326"/>
      <c r="K33" s="3326"/>
      <c r="L33" s="3327"/>
      <c r="M33" s="3327"/>
      <c r="O33" s="1842"/>
      <c r="P33" s="1842"/>
    </row>
    <row r="34" spans="1:19" s="8" customFormat="1" ht="12" customHeight="1">
      <c r="B34" s="1113" t="s">
        <v>3831</v>
      </c>
      <c r="C34" s="1114"/>
      <c r="D34" s="1115" t="s">
        <v>1608</v>
      </c>
      <c r="E34" s="1109"/>
      <c r="F34" s="3325"/>
      <c r="G34" s="3325"/>
      <c r="H34" s="257"/>
      <c r="I34" s="3326"/>
      <c r="J34" s="3326"/>
      <c r="K34" s="3326"/>
      <c r="L34" s="3327"/>
      <c r="M34" s="3327"/>
      <c r="O34" s="1842"/>
      <c r="P34" s="1842"/>
    </row>
    <row r="35" spans="1:19" s="8" customFormat="1" ht="12" customHeight="1">
      <c r="B35" s="1110" t="s">
        <v>1382</v>
      </c>
      <c r="C35" s="258"/>
      <c r="D35" s="668" t="s">
        <v>3492</v>
      </c>
      <c r="E35" s="3328" t="s">
        <v>203</v>
      </c>
      <c r="F35" s="3325"/>
      <c r="G35" s="3325"/>
      <c r="H35" s="1116"/>
      <c r="I35" s="3326"/>
      <c r="J35" s="3326"/>
      <c r="K35" s="3326"/>
      <c r="L35" s="3327"/>
      <c r="M35" s="3327"/>
      <c r="O35" s="1842"/>
      <c r="P35" s="1842"/>
    </row>
    <row r="36" spans="1:19" s="8" customFormat="1" ht="12" customHeight="1">
      <c r="B36" s="1121" t="s">
        <v>1865</v>
      </c>
      <c r="C36" s="231"/>
      <c r="D36" s="259"/>
      <c r="E36" s="231"/>
      <c r="F36" s="3329"/>
      <c r="G36" s="3329"/>
      <c r="H36" s="1122"/>
      <c r="I36" s="3330"/>
      <c r="J36" s="3330"/>
      <c r="K36" s="3330"/>
      <c r="L36" s="3331"/>
      <c r="M36" s="3331"/>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3" t="s">
        <v>4690</v>
      </c>
      <c r="C41" s="3334"/>
      <c r="D41" s="3334"/>
      <c r="E41" s="3334"/>
      <c r="F41" s="3334"/>
      <c r="G41" s="3334"/>
      <c r="H41" s="3334"/>
      <c r="I41" s="3334"/>
      <c r="J41" s="3334"/>
      <c r="K41" s="3334"/>
      <c r="L41" s="3334"/>
      <c r="M41" s="333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6"/>
      <c r="C44" s="3337"/>
      <c r="D44" s="3337"/>
      <c r="E44" s="3337"/>
      <c r="F44" s="3337"/>
      <c r="G44" s="3337"/>
      <c r="H44" s="3337"/>
      <c r="I44" s="3337"/>
      <c r="J44" s="3337"/>
      <c r="K44" s="3337"/>
      <c r="L44" s="3337"/>
      <c r="M44" s="3338"/>
      <c r="N44" s="28"/>
      <c r="O44" s="1619"/>
      <c r="P44" s="1619"/>
      <c r="Q44" s="1619"/>
      <c r="R44" s="1619"/>
      <c r="S44" s="1619"/>
    </row>
  </sheetData>
  <sheetProtection algorithmName="SHA-512" hashValue="LnqwCAbEYzdw1lhigUO5zlcFgic5mmhtBBqYJCvGU3DXVw4s0pk41rtdf9ndOP3wj72lw8Z2aDWIgNrO/KLQXA==" saltValue="1Dm3cgXoQGwxEbSb6GTuv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headerFooter alignWithMargins="0">
    <oddHeader>&amp;LGeorgia Department of Community Affairs&amp;C&amp;11 2018 Funding Application&amp;RHousing Finance and Development Division</oddHeader>
    <oddFooter>&amp;L&amp;G &amp;9&amp;F&amp;C&amp;9&amp;A&amp;R&amp;9&amp;P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2018-08-30T17:45:35Z</dcterms:modified>
</cp:coreProperties>
</file>